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360" yWindow="-45" windowWidth="9690" windowHeight="12555" tabRatio="802"/>
  </bookViews>
  <sheets>
    <sheet name="Introduction" sheetId="11" r:id="rId1"/>
    <sheet name="Model" sheetId="2" r:id="rId2"/>
    <sheet name="Definitions" sheetId="12" r:id="rId3"/>
    <sheet name="Inputs" sheetId="1" r:id="rId4"/>
    <sheet name="Annualized Fixed Costs" sheetId="3" r:id="rId5"/>
    <sheet name="Annualized Recurring Costs" sheetId="4" r:id="rId6"/>
    <sheet name="Annualized Yield Costs" sheetId="14" r:id="rId7"/>
    <sheet name="Summary Calculations" sheetId="5" r:id="rId8"/>
    <sheet name="Equipment Total Utilization" sheetId="10" r:id="rId9"/>
    <sheet name="Sheet1" sheetId="15" r:id="rId10"/>
  </sheets>
  <calcPr calcId="145621"/>
</workbook>
</file>

<file path=xl/calcChain.xml><?xml version="1.0" encoding="utf-8"?>
<calcChain xmlns="http://schemas.openxmlformats.org/spreadsheetml/2006/main">
  <c r="B12" i="10" l="1"/>
  <c r="B13" i="10"/>
  <c r="B14" i="10"/>
  <c r="B15" i="10"/>
  <c r="B16" i="10"/>
  <c r="B17" i="10"/>
  <c r="B18" i="10"/>
  <c r="B10" i="3"/>
  <c r="B11" i="3"/>
  <c r="B12" i="3"/>
  <c r="B14" i="3"/>
  <c r="B15" i="3"/>
  <c r="B16" i="3"/>
  <c r="B18" i="3"/>
  <c r="B19" i="3"/>
  <c r="B20" i="3"/>
  <c r="B21" i="3"/>
  <c r="B22" i="3"/>
  <c r="B23" i="3"/>
  <c r="B24" i="3"/>
  <c r="B25" i="3"/>
  <c r="B17" i="3"/>
  <c r="B27" i="3"/>
  <c r="B28" i="3"/>
  <c r="B29" i="3"/>
  <c r="B30" i="3"/>
  <c r="B31" i="3"/>
  <c r="B32" i="3"/>
  <c r="B33" i="3"/>
  <c r="B26" i="3"/>
  <c r="B35" i="3"/>
  <c r="B36" i="3"/>
  <c r="B38" i="3"/>
  <c r="B37" i="3" s="1"/>
  <c r="B40" i="3"/>
  <c r="B41" i="3"/>
  <c r="B39" i="3"/>
  <c r="C10" i="3"/>
  <c r="C11" i="3"/>
  <c r="C12" i="3"/>
  <c r="C14" i="3"/>
  <c r="C15" i="3"/>
  <c r="C16" i="3"/>
  <c r="C40" i="3"/>
  <c r="C41" i="3"/>
  <c r="C39" i="3" s="1"/>
  <c r="D10" i="3"/>
  <c r="D11" i="3"/>
  <c r="D12" i="3"/>
  <c r="D14" i="3"/>
  <c r="D15" i="3"/>
  <c r="D16" i="3"/>
  <c r="D40" i="3"/>
  <c r="D41" i="3"/>
  <c r="D39" i="3" s="1"/>
  <c r="E10" i="3"/>
  <c r="E11" i="3"/>
  <c r="E12" i="3"/>
  <c r="E14" i="3"/>
  <c r="E15" i="3"/>
  <c r="E16" i="3"/>
  <c r="E40" i="3"/>
  <c r="E41" i="3"/>
  <c r="F10" i="3"/>
  <c r="F11" i="3"/>
  <c r="F12" i="3"/>
  <c r="F14" i="3"/>
  <c r="F15" i="3"/>
  <c r="F16" i="3"/>
  <c r="F40" i="3"/>
  <c r="F41" i="3"/>
  <c r="F39" i="3" s="1"/>
  <c r="G10" i="3"/>
  <c r="G11" i="3"/>
  <c r="G12" i="3"/>
  <c r="G14" i="3"/>
  <c r="G15" i="3"/>
  <c r="G16" i="3"/>
  <c r="G40" i="3"/>
  <c r="G41" i="3"/>
  <c r="G39" i="3" s="1"/>
  <c r="H10" i="3"/>
  <c r="H11" i="3"/>
  <c r="H12" i="3"/>
  <c r="H14" i="3"/>
  <c r="H15" i="3"/>
  <c r="H16" i="3"/>
  <c r="H40" i="3"/>
  <c r="H41" i="3"/>
  <c r="H39" i="3" s="1"/>
  <c r="I4" i="5"/>
  <c r="J4" i="5"/>
  <c r="K4" i="5"/>
  <c r="B13" i="4"/>
  <c r="B12" i="4" s="1"/>
  <c r="B16" i="4"/>
  <c r="B18" i="4"/>
  <c r="B19" i="4"/>
  <c r="B23" i="4"/>
  <c r="B24" i="4"/>
  <c r="B25" i="4"/>
  <c r="B32" i="4"/>
  <c r="B33" i="4"/>
  <c r="C13" i="4"/>
  <c r="C12" i="4" s="1"/>
  <c r="C16" i="4"/>
  <c r="C18" i="4"/>
  <c r="C19" i="4"/>
  <c r="C23" i="4"/>
  <c r="C24" i="4"/>
  <c r="C25" i="4"/>
  <c r="C32" i="4"/>
  <c r="C33" i="4"/>
  <c r="C31" i="4" s="1"/>
  <c r="D13" i="4"/>
  <c r="D12" i="4" s="1"/>
  <c r="D16" i="4"/>
  <c r="D18" i="4"/>
  <c r="D19" i="4"/>
  <c r="D23" i="4"/>
  <c r="D24" i="4"/>
  <c r="D25" i="4"/>
  <c r="D32" i="4"/>
  <c r="D33" i="4"/>
  <c r="E13" i="4"/>
  <c r="E12" i="4" s="1"/>
  <c r="E16" i="4"/>
  <c r="E18" i="4"/>
  <c r="E19" i="4"/>
  <c r="E23" i="4"/>
  <c r="E24" i="4"/>
  <c r="E25" i="4"/>
  <c r="E32" i="4"/>
  <c r="E33" i="4"/>
  <c r="F13" i="4"/>
  <c r="F12" i="4" s="1"/>
  <c r="F16" i="4"/>
  <c r="F18" i="4"/>
  <c r="F19" i="4"/>
  <c r="F23" i="4"/>
  <c r="F24" i="4"/>
  <c r="F25" i="4"/>
  <c r="F32" i="4"/>
  <c r="F33" i="4"/>
  <c r="G5" i="5"/>
  <c r="H5" i="5"/>
  <c r="I5" i="5"/>
  <c r="J5" i="5"/>
  <c r="K5" i="5"/>
  <c r="B14" i="14"/>
  <c r="B15" i="14"/>
  <c r="B16" i="14"/>
  <c r="C14" i="14"/>
  <c r="C15" i="14"/>
  <c r="C16" i="14"/>
  <c r="C19" i="14" s="1"/>
  <c r="C6" i="5" s="1"/>
  <c r="D14" i="14"/>
  <c r="D15" i="14"/>
  <c r="D16" i="14"/>
  <c r="E14" i="14"/>
  <c r="E15" i="14"/>
  <c r="E16" i="14"/>
  <c r="F14" i="14"/>
  <c r="F15" i="14"/>
  <c r="F16" i="14"/>
  <c r="G6" i="5"/>
  <c r="H6" i="5"/>
  <c r="I6" i="5"/>
  <c r="I7" i="5" s="1"/>
  <c r="J6" i="5"/>
  <c r="J7" i="5" s="1"/>
  <c r="K6" i="5"/>
  <c r="I10" i="3"/>
  <c r="I11" i="3"/>
  <c r="I12" i="3"/>
  <c r="I14" i="3"/>
  <c r="I15" i="3"/>
  <c r="I16" i="3"/>
  <c r="I40" i="3"/>
  <c r="I41" i="3"/>
  <c r="I39" i="3" s="1"/>
  <c r="J10" i="3"/>
  <c r="J11" i="3"/>
  <c r="J7" i="3" s="1"/>
  <c r="J12" i="3"/>
  <c r="J14" i="3"/>
  <c r="J15" i="3"/>
  <c r="J16" i="3"/>
  <c r="J40" i="3"/>
  <c r="J41" i="3"/>
  <c r="K10" i="3"/>
  <c r="K11" i="3"/>
  <c r="K12" i="3"/>
  <c r="K14" i="3"/>
  <c r="K15" i="3"/>
  <c r="K16" i="3"/>
  <c r="K40" i="3"/>
  <c r="K41" i="3"/>
  <c r="G36" i="4"/>
  <c r="H36" i="4"/>
  <c r="I36" i="4"/>
  <c r="J36" i="4"/>
  <c r="K36" i="4"/>
  <c r="G19" i="14"/>
  <c r="H19" i="14"/>
  <c r="I19" i="14"/>
  <c r="J19" i="14"/>
  <c r="K19" i="14"/>
  <c r="B14" i="5"/>
  <c r="B16" i="5"/>
  <c r="G24" i="5"/>
  <c r="H24" i="5"/>
  <c r="I24" i="5"/>
  <c r="J24" i="5"/>
  <c r="K24" i="5"/>
  <c r="G14" i="14"/>
  <c r="H14" i="14"/>
  <c r="I14" i="14"/>
  <c r="J14" i="14"/>
  <c r="K14" i="14"/>
  <c r="G15" i="14"/>
  <c r="H15" i="14"/>
  <c r="I15" i="14"/>
  <c r="J15" i="14"/>
  <c r="K15" i="14"/>
  <c r="G16" i="14"/>
  <c r="H16" i="14"/>
  <c r="I16" i="14"/>
  <c r="J16" i="14"/>
  <c r="K16" i="14"/>
  <c r="G13" i="4"/>
  <c r="G12" i="4" s="1"/>
  <c r="H13" i="4"/>
  <c r="H12" i="4" s="1"/>
  <c r="I13" i="4"/>
  <c r="I12" i="4" s="1"/>
  <c r="J13" i="4"/>
  <c r="J12" i="4" s="1"/>
  <c r="K13" i="4"/>
  <c r="K12" i="4" s="1"/>
  <c r="G16" i="4"/>
  <c r="G18" i="4"/>
  <c r="G19" i="4"/>
  <c r="H16" i="4"/>
  <c r="H18" i="4"/>
  <c r="H19" i="4"/>
  <c r="I16" i="4"/>
  <c r="I18" i="4"/>
  <c r="I19" i="4"/>
  <c r="J16" i="4"/>
  <c r="J18" i="4"/>
  <c r="J19" i="4"/>
  <c r="K16" i="4"/>
  <c r="K18" i="4"/>
  <c r="K19" i="4"/>
  <c r="G23" i="4"/>
  <c r="G24" i="4"/>
  <c r="G25" i="4"/>
  <c r="H23" i="4"/>
  <c r="H24" i="4"/>
  <c r="H25" i="4"/>
  <c r="I23" i="4"/>
  <c r="I24" i="4"/>
  <c r="I25" i="4"/>
  <c r="J23" i="4"/>
  <c r="J24" i="4"/>
  <c r="J25" i="4"/>
  <c r="K23" i="4"/>
  <c r="K24" i="4"/>
  <c r="K25" i="4"/>
  <c r="B29" i="4"/>
  <c r="C29" i="4"/>
  <c r="D29" i="4"/>
  <c r="E29" i="4"/>
  <c r="F29" i="4"/>
  <c r="G29" i="4"/>
  <c r="H29" i="4"/>
  <c r="I29" i="4"/>
  <c r="J29" i="4"/>
  <c r="K29" i="4"/>
  <c r="G32" i="4"/>
  <c r="G33" i="4"/>
  <c r="H32" i="4"/>
  <c r="H33" i="4"/>
  <c r="I32" i="4"/>
  <c r="I33" i="4"/>
  <c r="J32" i="4"/>
  <c r="J33" i="4"/>
  <c r="K32" i="4"/>
  <c r="K33" i="4"/>
  <c r="C17" i="3"/>
  <c r="D17" i="3"/>
  <c r="E17" i="3"/>
  <c r="F17" i="3"/>
  <c r="G17" i="3"/>
  <c r="H17" i="3"/>
  <c r="I17" i="3"/>
  <c r="J17" i="3"/>
  <c r="K17" i="3"/>
  <c r="C26" i="3"/>
  <c r="D26" i="3"/>
  <c r="E26" i="3"/>
  <c r="F26" i="3"/>
  <c r="G26" i="3"/>
  <c r="H26" i="3"/>
  <c r="I26" i="3"/>
  <c r="J26" i="3"/>
  <c r="K26" i="3"/>
  <c r="C34" i="3"/>
  <c r="D34" i="3"/>
  <c r="E34" i="3"/>
  <c r="F34" i="3"/>
  <c r="G34" i="3"/>
  <c r="H34" i="3"/>
  <c r="I34" i="3"/>
  <c r="J34" i="3"/>
  <c r="K34" i="3"/>
  <c r="C37" i="3"/>
  <c r="D37" i="3"/>
  <c r="E37" i="3"/>
  <c r="F37" i="3"/>
  <c r="G37" i="3"/>
  <c r="H37" i="3"/>
  <c r="I37" i="3"/>
  <c r="J37" i="3"/>
  <c r="K37" i="3"/>
  <c r="G31" i="4" l="1"/>
  <c r="J39" i="3"/>
  <c r="I7" i="3"/>
  <c r="I44" i="3" s="1"/>
  <c r="D31" i="4"/>
  <c r="K31" i="4"/>
  <c r="K39" i="3"/>
  <c r="B19" i="14"/>
  <c r="B20" i="14" s="1"/>
  <c r="F31" i="4"/>
  <c r="E39" i="3"/>
  <c r="G7" i="3"/>
  <c r="E7" i="3"/>
  <c r="E44" i="3" s="1"/>
  <c r="E4" i="5" s="1"/>
  <c r="C7" i="3"/>
  <c r="B7" i="3"/>
  <c r="J44" i="3"/>
  <c r="J31" i="4"/>
  <c r="H31" i="4"/>
  <c r="F19" i="14"/>
  <c r="F6" i="5" s="1"/>
  <c r="K7" i="5"/>
  <c r="B31" i="4"/>
  <c r="H7" i="3"/>
  <c r="F7" i="3"/>
  <c r="D7" i="3"/>
  <c r="B34" i="3"/>
  <c r="B20" i="10"/>
  <c r="B11" i="5"/>
  <c r="C20" i="14"/>
  <c r="D19" i="14"/>
  <c r="D6" i="5" s="1"/>
  <c r="H44" i="3"/>
  <c r="H4" i="5" s="1"/>
  <c r="H7" i="5" s="1"/>
  <c r="D44" i="3"/>
  <c r="D4" i="5" s="1"/>
  <c r="B10" i="4"/>
  <c r="B27" i="4"/>
  <c r="C8" i="4"/>
  <c r="C28" i="4"/>
  <c r="D9" i="4"/>
  <c r="B11" i="4"/>
  <c r="B15" i="4"/>
  <c r="B28" i="4"/>
  <c r="C9" i="4"/>
  <c r="B8" i="4"/>
  <c r="C10" i="4"/>
  <c r="C26" i="4"/>
  <c r="D11" i="4"/>
  <c r="D15" i="4"/>
  <c r="D27" i="4"/>
  <c r="E8" i="4"/>
  <c r="E28" i="4"/>
  <c r="F9" i="4"/>
  <c r="B9" i="4"/>
  <c r="B17" i="4"/>
  <c r="B21" i="4"/>
  <c r="B20" i="4" s="1"/>
  <c r="B26" i="4"/>
  <c r="B22" i="4" s="1"/>
  <c r="C11" i="4"/>
  <c r="C15" i="4"/>
  <c r="C27" i="4"/>
  <c r="D8" i="4"/>
  <c r="D28" i="4"/>
  <c r="E9" i="4"/>
  <c r="E17" i="4"/>
  <c r="E21" i="4"/>
  <c r="E20" i="4" s="1"/>
  <c r="F10" i="4"/>
  <c r="F26" i="4"/>
  <c r="B15" i="5"/>
  <c r="G8" i="4"/>
  <c r="H11" i="4"/>
  <c r="I10" i="4"/>
  <c r="J9" i="4"/>
  <c r="K8" i="4"/>
  <c r="G28" i="4"/>
  <c r="I26" i="4"/>
  <c r="J27" i="4"/>
  <c r="K28" i="4"/>
  <c r="D17" i="4"/>
  <c r="D21" i="4"/>
  <c r="D20" i="4" s="1"/>
  <c r="E10" i="4"/>
  <c r="E26" i="4"/>
  <c r="F11" i="4"/>
  <c r="C17" i="4"/>
  <c r="E15" i="4"/>
  <c r="E14" i="4" s="1"/>
  <c r="F28" i="4"/>
  <c r="G11" i="4"/>
  <c r="G15" i="4"/>
  <c r="J15" i="4"/>
  <c r="K17" i="4"/>
  <c r="J21" i="4"/>
  <c r="J20" i="4" s="1"/>
  <c r="H26" i="4"/>
  <c r="J26" i="4"/>
  <c r="D26" i="4"/>
  <c r="D22" i="4" s="1"/>
  <c r="E11" i="4"/>
  <c r="F15" i="4"/>
  <c r="B17" i="5"/>
  <c r="H8" i="4"/>
  <c r="I8" i="4"/>
  <c r="J8" i="4"/>
  <c r="K9" i="4"/>
  <c r="H15" i="4"/>
  <c r="I17" i="4"/>
  <c r="I31" i="4"/>
  <c r="K27" i="4"/>
  <c r="H27" i="4"/>
  <c r="G27" i="4"/>
  <c r="I21" i="4"/>
  <c r="I20" i="4" s="1"/>
  <c r="K10" i="4"/>
  <c r="I9" i="4"/>
  <c r="G9" i="4"/>
  <c r="E27" i="4"/>
  <c r="K26" i="4"/>
  <c r="K22" i="4" s="1"/>
  <c r="G26" i="4"/>
  <c r="H21" i="4"/>
  <c r="H20" i="4" s="1"/>
  <c r="J17" i="4"/>
  <c r="J11" i="4"/>
  <c r="H10" i="4"/>
  <c r="B6" i="5"/>
  <c r="F27" i="4"/>
  <c r="F21" i="4"/>
  <c r="F20" i="4" s="1"/>
  <c r="F17" i="4"/>
  <c r="F8" i="4"/>
  <c r="F7" i="4" s="1"/>
  <c r="K7" i="3"/>
  <c r="K44" i="3" s="1"/>
  <c r="E19" i="14"/>
  <c r="E6" i="5" s="1"/>
  <c r="G44" i="3"/>
  <c r="G4" i="5" s="1"/>
  <c r="G7" i="5" s="1"/>
  <c r="C44" i="3"/>
  <c r="C4" i="5" s="1"/>
  <c r="E31" i="4"/>
  <c r="F44" i="3"/>
  <c r="F4" i="5" s="1"/>
  <c r="G22" i="4" l="1"/>
  <c r="F22" i="4"/>
  <c r="E22" i="4"/>
  <c r="D14" i="4"/>
  <c r="B7" i="4"/>
  <c r="B44" i="3"/>
  <c r="C21" i="4"/>
  <c r="C20" i="4" s="1"/>
  <c r="D10" i="4"/>
  <c r="D7" i="4" s="1"/>
  <c r="D36" i="4" s="1"/>
  <c r="D5" i="5" s="1"/>
  <c r="D7" i="5" s="1"/>
  <c r="D24" i="5" s="1"/>
  <c r="H9" i="4"/>
  <c r="H7" i="4" s="1"/>
  <c r="J10" i="4"/>
  <c r="J7" i="4" s="1"/>
  <c r="G17" i="4"/>
  <c r="G14" i="4" s="1"/>
  <c r="H17" i="4"/>
  <c r="H14" i="4" s="1"/>
  <c r="K15" i="4"/>
  <c r="K14" i="4" s="1"/>
  <c r="G21" i="4"/>
  <c r="G20" i="4" s="1"/>
  <c r="H28" i="4"/>
  <c r="H22" i="4" s="1"/>
  <c r="I27" i="4"/>
  <c r="G10" i="4"/>
  <c r="G7" i="4" s="1"/>
  <c r="I11" i="4"/>
  <c r="K11" i="4"/>
  <c r="K7" i="4" s="1"/>
  <c r="I15" i="4"/>
  <c r="I14" i="4" s="1"/>
  <c r="K21" i="4"/>
  <c r="K20" i="4" s="1"/>
  <c r="I28" i="4"/>
  <c r="J28" i="4"/>
  <c r="J22" i="4" s="1"/>
  <c r="J14" i="4"/>
  <c r="D20" i="14"/>
  <c r="C11" i="5"/>
  <c r="F14" i="4"/>
  <c r="F36" i="4" s="1"/>
  <c r="F5" i="5" s="1"/>
  <c r="F7" i="5" s="1"/>
  <c r="F24" i="5" s="1"/>
  <c r="C14" i="4"/>
  <c r="E7" i="4"/>
  <c r="E36" i="4" s="1"/>
  <c r="E5" i="5" s="1"/>
  <c r="E7" i="5" s="1"/>
  <c r="E24" i="5" s="1"/>
  <c r="C22" i="4"/>
  <c r="I7" i="4"/>
  <c r="B14" i="4"/>
  <c r="B36" i="4" s="1"/>
  <c r="C7" i="4"/>
  <c r="I22" i="4" l="1"/>
  <c r="B4" i="5"/>
  <c r="B45" i="3"/>
  <c r="B5" i="5"/>
  <c r="B7" i="5" s="1"/>
  <c r="B24" i="5" s="1"/>
  <c r="B37" i="4"/>
  <c r="E20" i="14"/>
  <c r="D11" i="5"/>
  <c r="C36" i="4"/>
  <c r="C5" i="5" s="1"/>
  <c r="C7" i="5" s="1"/>
  <c r="C24" i="5" s="1"/>
  <c r="B9" i="5" l="1"/>
  <c r="C45" i="3"/>
  <c r="B10" i="5"/>
  <c r="B12" i="5" s="1"/>
  <c r="B27" i="5" s="1"/>
  <c r="C37" i="4"/>
  <c r="F20" i="14"/>
  <c r="E11" i="5"/>
  <c r="D45" i="3" l="1"/>
  <c r="C9" i="5"/>
  <c r="G20" i="14"/>
  <c r="F11" i="5"/>
  <c r="C10" i="5"/>
  <c r="D37" i="4"/>
  <c r="C12" i="5" l="1"/>
  <c r="C27" i="5" s="1"/>
  <c r="E45" i="3"/>
  <c r="D9" i="5"/>
  <c r="D10" i="5"/>
  <c r="D12" i="5" s="1"/>
  <c r="D27" i="5" s="1"/>
  <c r="E37" i="4"/>
  <c r="G11" i="5"/>
  <c r="H20" i="14"/>
  <c r="E9" i="5" l="1"/>
  <c r="F45" i="3"/>
  <c r="I20" i="14"/>
  <c r="H11" i="5"/>
  <c r="E10" i="5"/>
  <c r="E12" i="5" s="1"/>
  <c r="E27" i="5" s="1"/>
  <c r="F37" i="4"/>
  <c r="G45" i="3" l="1"/>
  <c r="F9" i="5"/>
  <c r="F10" i="5"/>
  <c r="G37" i="4"/>
  <c r="J20" i="14"/>
  <c r="I11" i="5"/>
  <c r="F12" i="5" l="1"/>
  <c r="F27" i="5" s="1"/>
  <c r="H45" i="3"/>
  <c r="G9" i="5"/>
  <c r="G10" i="5"/>
  <c r="H37" i="4"/>
  <c r="J11" i="5"/>
  <c r="K20" i="14"/>
  <c r="K11" i="5" s="1"/>
  <c r="G12" i="5" l="1"/>
  <c r="G27" i="5" s="1"/>
  <c r="H9" i="5"/>
  <c r="I45" i="3"/>
  <c r="I37" i="4"/>
  <c r="H10" i="5"/>
  <c r="H12" i="5" s="1"/>
  <c r="H27" i="5" s="1"/>
  <c r="J45" i="3" l="1"/>
  <c r="I9" i="5"/>
  <c r="J37" i="4"/>
  <c r="I10" i="5"/>
  <c r="I12" i="5" s="1"/>
  <c r="I27" i="5" s="1"/>
  <c r="J9" i="5" l="1"/>
  <c r="K45" i="3"/>
  <c r="K9" i="5" s="1"/>
  <c r="J10" i="5"/>
  <c r="J12" i="5" s="1"/>
  <c r="J27" i="5" s="1"/>
  <c r="K37" i="4"/>
  <c r="K10" i="5" s="1"/>
  <c r="K12" i="5" s="1"/>
  <c r="K27" i="5" l="1"/>
  <c r="B19" i="5"/>
  <c r="B20" i="5" s="1"/>
</calcChain>
</file>

<file path=xl/sharedStrings.xml><?xml version="1.0" encoding="utf-8"?>
<sst xmlns="http://schemas.openxmlformats.org/spreadsheetml/2006/main" count="909" uniqueCount="534">
  <si>
    <t>scheduled maintenance downtime, hrs/week</t>
  </si>
  <si>
    <t>unscheduled maintenance downtime, hrs/week</t>
  </si>
  <si>
    <t>nonscheduled time, hrs/week</t>
  </si>
  <si>
    <t>total number of hours per week, hrs/week</t>
  </si>
  <si>
    <r>
      <t>COO</t>
    </r>
    <r>
      <rPr>
        <sz val="10"/>
        <color indexed="10"/>
        <rFont val="Arial"/>
        <family val="2"/>
      </rPr>
      <t xml:space="preserve"> =</t>
    </r>
  </si>
  <si>
    <r>
      <t>F$</t>
    </r>
    <r>
      <rPr>
        <sz val="10"/>
        <color indexed="10"/>
        <rFont val="Arial"/>
        <family val="2"/>
      </rPr>
      <t xml:space="preserve"> + </t>
    </r>
    <r>
      <rPr>
        <i/>
        <sz val="10"/>
        <color indexed="10"/>
        <rFont val="Arial"/>
        <family val="2"/>
      </rPr>
      <t>R$</t>
    </r>
    <r>
      <rPr>
        <sz val="10"/>
        <color indexed="10"/>
        <rFont val="Arial"/>
        <family val="2"/>
      </rPr>
      <t xml:space="preserve"> + </t>
    </r>
    <r>
      <rPr>
        <i/>
        <sz val="10"/>
        <color indexed="10"/>
        <rFont val="Arial"/>
        <family val="2"/>
      </rPr>
      <t>Y$</t>
    </r>
  </si>
  <si>
    <r>
      <t xml:space="preserve">L </t>
    </r>
    <r>
      <rPr>
        <sz val="10"/>
        <color indexed="10"/>
        <rFont val="Arial"/>
        <family val="2"/>
      </rPr>
      <t xml:space="preserve">x </t>
    </r>
    <r>
      <rPr>
        <i/>
        <sz val="10"/>
        <color indexed="10"/>
        <rFont val="Arial"/>
        <family val="2"/>
      </rPr>
      <t>TP</t>
    </r>
    <r>
      <rPr>
        <sz val="10"/>
        <color indexed="10"/>
        <rFont val="Arial"/>
        <family val="2"/>
      </rPr>
      <t xml:space="preserve"> x </t>
    </r>
    <r>
      <rPr>
        <i/>
        <sz val="10"/>
        <color indexed="10"/>
        <rFont val="Arial"/>
        <family val="2"/>
      </rPr>
      <t>PRY</t>
    </r>
    <r>
      <rPr>
        <sz val="10"/>
        <color indexed="10"/>
        <rFont val="Arial"/>
        <family val="2"/>
      </rPr>
      <t xml:space="preserve"> x </t>
    </r>
    <r>
      <rPr>
        <i/>
        <sz val="10"/>
        <color indexed="10"/>
        <rFont val="Arial"/>
        <family val="2"/>
      </rPr>
      <t>TU</t>
    </r>
  </si>
  <si>
    <r>
      <t>1 - (</t>
    </r>
    <r>
      <rPr>
        <i/>
        <sz val="10"/>
        <color indexed="10"/>
        <rFont val="Arial"/>
        <family val="2"/>
      </rPr>
      <t>SM + USM + N</t>
    </r>
    <r>
      <rPr>
        <b/>
        <i/>
        <sz val="10"/>
        <color indexed="10"/>
        <rFont val="Arial"/>
        <family val="2"/>
      </rPr>
      <t xml:space="preserve"> </t>
    </r>
    <r>
      <rPr>
        <i/>
        <sz val="10"/>
        <color indexed="10"/>
        <rFont val="Arial"/>
        <family val="2"/>
      </rPr>
      <t>+ S + Q + E</t>
    </r>
    <r>
      <rPr>
        <sz val="10"/>
        <color indexed="10"/>
        <rFont val="Arial"/>
        <family val="2"/>
      </rPr>
      <t xml:space="preserve">) / </t>
    </r>
    <r>
      <rPr>
        <i/>
        <sz val="10"/>
        <color indexed="10"/>
        <rFont val="Arial"/>
        <family val="2"/>
      </rPr>
      <t>H</t>
    </r>
  </si>
  <si>
    <r>
      <t>F$</t>
    </r>
    <r>
      <rPr>
        <sz val="10"/>
        <rFont val="Arial"/>
        <family val="2"/>
      </rPr>
      <t xml:space="preserve">, </t>
    </r>
    <r>
      <rPr>
        <i/>
        <sz val="10"/>
        <rFont val="Arial"/>
        <family val="2"/>
      </rPr>
      <t>R$</t>
    </r>
    <r>
      <rPr>
        <sz val="10"/>
        <rFont val="Arial"/>
        <family val="2"/>
      </rPr>
      <t xml:space="preserve">, and </t>
    </r>
    <r>
      <rPr>
        <i/>
        <sz val="10"/>
        <rFont val="Arial"/>
        <family val="2"/>
      </rPr>
      <t>Y$</t>
    </r>
    <r>
      <rPr>
        <sz val="10"/>
        <rFont val="Arial"/>
        <family val="2"/>
      </rPr>
      <t xml:space="preserve"> are calculated on the sheets named "Annualized Fixed Costs,"  "Annualized Recurring Costs,"</t>
    </r>
  </si>
  <si>
    <r>
      <t>L</t>
    </r>
    <r>
      <rPr>
        <sz val="10"/>
        <rFont val="Arial"/>
        <family val="2"/>
      </rPr>
      <t xml:space="preserve"> and </t>
    </r>
    <r>
      <rPr>
        <i/>
        <sz val="10"/>
        <rFont val="Arial"/>
        <family val="2"/>
      </rPr>
      <t>TP</t>
    </r>
    <r>
      <rPr>
        <sz val="10"/>
        <rFont val="Arial"/>
        <family val="2"/>
      </rPr>
      <t xml:space="preserve"> are input by the user on the sheet named "Inputs."</t>
    </r>
  </si>
  <si>
    <r>
      <t>PRY</t>
    </r>
    <r>
      <rPr>
        <sz val="10"/>
        <rFont val="Arial"/>
        <family val="2"/>
      </rPr>
      <t xml:space="preserve"> is the product of two user inputs on the sheet named "Inputs."</t>
    </r>
  </si>
  <si>
    <r>
      <t>TU</t>
    </r>
    <r>
      <rPr>
        <sz val="10"/>
        <rFont val="Arial"/>
        <family val="2"/>
      </rPr>
      <t xml:space="preserve"> is calculated on the sheet named "Equipment Total Utilization."</t>
    </r>
  </si>
  <si>
    <r>
      <t>COO</t>
    </r>
    <r>
      <rPr>
        <sz val="10"/>
        <rFont val="Arial"/>
        <family val="2"/>
      </rPr>
      <t xml:space="preserve"> is calculated on the sheet named "Summary Calculations."</t>
    </r>
  </si>
  <si>
    <r>
      <t xml:space="preserve">       1 + (</t>
    </r>
    <r>
      <rPr>
        <i/>
        <sz val="9"/>
        <rFont val="Arial"/>
        <family val="2"/>
      </rPr>
      <t>AA</t>
    </r>
    <r>
      <rPr>
        <sz val="9"/>
        <rFont val="Arial"/>
        <family val="2"/>
      </rPr>
      <t xml:space="preserve">  </t>
    </r>
    <r>
      <rPr>
        <sz val="12"/>
        <rFont val="Arial"/>
        <family val="2"/>
      </rPr>
      <t xml:space="preserve">   </t>
    </r>
    <r>
      <rPr>
        <i/>
        <sz val="9"/>
        <rFont val="Arial"/>
        <family val="2"/>
      </rPr>
      <t>DD</t>
    </r>
    <r>
      <rPr>
        <sz val="10"/>
        <rFont val="Arial"/>
        <family val="2"/>
      </rPr>
      <t xml:space="preserve">    </t>
    </r>
    <r>
      <rPr>
        <i/>
        <sz val="9"/>
        <rFont val="Arial"/>
        <family val="2"/>
      </rPr>
      <t>FP</t>
    </r>
    <r>
      <rPr>
        <sz val="10"/>
        <rFont val="Arial"/>
        <family val="2"/>
      </rPr>
      <t>)</t>
    </r>
  </si>
  <si>
    <r>
      <t>DY</t>
    </r>
    <r>
      <rPr>
        <sz val="9"/>
        <rFont val="Arial"/>
        <family val="2"/>
      </rPr>
      <t xml:space="preserve"> = ──────────────                                 </t>
    </r>
  </si>
  <si>
    <r>
      <t>This sheet calculates the annualized fixed cost term (</t>
    </r>
    <r>
      <rPr>
        <i/>
        <sz val="10"/>
        <rFont val="Arial"/>
        <family val="2"/>
      </rPr>
      <t>F$</t>
    </r>
    <r>
      <rPr>
        <sz val="10"/>
        <rFont val="Arial"/>
        <family val="2"/>
      </rPr>
      <t>) in the COO equation</t>
    </r>
    <r>
      <rPr>
        <sz val="10"/>
        <rFont val="Arial"/>
        <family val="2"/>
      </rPr>
      <t>.</t>
    </r>
  </si>
  <si>
    <r>
      <t>This sheet calculates the annualized recurring cost term (</t>
    </r>
    <r>
      <rPr>
        <i/>
        <sz val="10"/>
        <rFont val="Arial"/>
        <family val="2"/>
      </rPr>
      <t>R$</t>
    </r>
    <r>
      <rPr>
        <sz val="10"/>
        <rFont val="Arial"/>
        <family val="2"/>
      </rPr>
      <t>) in the COO equation</t>
    </r>
    <r>
      <rPr>
        <sz val="10"/>
        <rFont val="Arial"/>
        <family val="2"/>
      </rPr>
      <t>.</t>
    </r>
  </si>
  <si>
    <r>
      <t>The useful life of the equipment is accounted for in the total annualized cost (</t>
    </r>
    <r>
      <rPr>
        <sz val="10"/>
        <rFont val="Arial"/>
        <family val="2"/>
      </rPr>
      <t>i</t>
    </r>
    <r>
      <rPr>
        <sz val="10"/>
        <rFont val="Arial"/>
        <family val="2"/>
      </rPr>
      <t>.e., annual cost is set to zero for years beyond useful life).</t>
    </r>
  </si>
  <si>
    <r>
      <t>This sheet calculates the annualized yield cost term (</t>
    </r>
    <r>
      <rPr>
        <i/>
        <sz val="10"/>
        <rFont val="Arial"/>
        <family val="2"/>
      </rPr>
      <t>Y$</t>
    </r>
    <r>
      <rPr>
        <sz val="10"/>
        <rFont val="Arial"/>
        <family val="2"/>
      </rPr>
      <t>) in the COO equation.</t>
    </r>
  </si>
  <si>
    <r>
      <t>Y$</t>
    </r>
    <r>
      <rPr>
        <sz val="10"/>
        <color indexed="10"/>
        <rFont val="Arial"/>
        <family val="2"/>
      </rPr>
      <t xml:space="preserve"> = (</t>
    </r>
    <r>
      <rPr>
        <i/>
        <sz val="10"/>
        <color indexed="10"/>
        <rFont val="Arial"/>
        <family val="2"/>
      </rPr>
      <t xml:space="preserve">Wy </t>
    </r>
    <r>
      <rPr>
        <sz val="10"/>
        <color indexed="10"/>
        <rFont val="Arial"/>
        <family val="2"/>
      </rPr>
      <t>x</t>
    </r>
    <r>
      <rPr>
        <i/>
        <sz val="10"/>
        <color indexed="10"/>
        <rFont val="Arial"/>
        <family val="2"/>
      </rPr>
      <t xml:space="preserve"> P$</t>
    </r>
    <r>
      <rPr>
        <sz val="10"/>
        <color indexed="10"/>
        <rFont val="Arial"/>
        <family val="2"/>
      </rPr>
      <t>)</t>
    </r>
    <r>
      <rPr>
        <i/>
        <sz val="10"/>
        <color indexed="10"/>
        <rFont val="Arial"/>
        <family val="2"/>
      </rPr>
      <t xml:space="preserve"> + </t>
    </r>
    <r>
      <rPr>
        <sz val="10"/>
        <color indexed="10"/>
        <rFont val="Arial"/>
        <family val="2"/>
      </rPr>
      <t>(</t>
    </r>
    <r>
      <rPr>
        <i/>
        <sz val="10"/>
        <color indexed="10"/>
        <rFont val="Arial"/>
        <family val="2"/>
      </rPr>
      <t xml:space="preserve">Wd </t>
    </r>
    <r>
      <rPr>
        <sz val="10"/>
        <color indexed="10"/>
        <rFont val="Arial"/>
        <family val="2"/>
      </rPr>
      <t>x</t>
    </r>
    <r>
      <rPr>
        <i/>
        <sz val="10"/>
        <color indexed="10"/>
        <rFont val="Arial"/>
        <family val="2"/>
      </rPr>
      <t xml:space="preserve"> T$</t>
    </r>
    <r>
      <rPr>
        <sz val="10"/>
        <color indexed="10"/>
        <rFont val="Arial"/>
        <family val="2"/>
      </rPr>
      <t>)</t>
    </r>
    <r>
      <rPr>
        <i/>
        <sz val="10"/>
        <color indexed="10"/>
        <rFont val="Arial"/>
        <family val="2"/>
      </rPr>
      <t xml:space="preserve"> + </t>
    </r>
    <r>
      <rPr>
        <sz val="10"/>
        <color indexed="10"/>
        <rFont val="Arial"/>
        <family val="2"/>
      </rPr>
      <t>(</t>
    </r>
    <r>
      <rPr>
        <i/>
        <sz val="10"/>
        <color indexed="10"/>
        <rFont val="Arial"/>
        <family val="2"/>
      </rPr>
      <t xml:space="preserve">Wp </t>
    </r>
    <r>
      <rPr>
        <sz val="10"/>
        <color indexed="10"/>
        <rFont val="Arial"/>
        <family val="2"/>
      </rPr>
      <t>x</t>
    </r>
    <r>
      <rPr>
        <i/>
        <sz val="10"/>
        <color indexed="10"/>
        <rFont val="Arial"/>
        <family val="2"/>
      </rPr>
      <t xml:space="preserve"> T$</t>
    </r>
    <r>
      <rPr>
        <sz val="10"/>
        <color indexed="10"/>
        <rFont val="Arial"/>
        <family val="2"/>
      </rPr>
      <t>)</t>
    </r>
  </si>
  <si>
    <r>
      <t>1 - (</t>
    </r>
    <r>
      <rPr>
        <i/>
        <sz val="10"/>
        <color indexed="10"/>
        <rFont val="Arial"/>
        <family val="2"/>
      </rPr>
      <t>SM + USM + N + S + Q + E</t>
    </r>
    <r>
      <rPr>
        <sz val="10"/>
        <color indexed="10"/>
        <rFont val="Arial"/>
        <family val="2"/>
      </rPr>
      <t xml:space="preserve">) / </t>
    </r>
    <r>
      <rPr>
        <i/>
        <sz val="10"/>
        <color indexed="10"/>
        <rFont val="Arial"/>
        <family val="2"/>
      </rPr>
      <t>H</t>
    </r>
  </si>
  <si>
    <r>
      <t xml:space="preserve">Note: Calculates time to test and restart production after a failure, which is included in </t>
    </r>
    <r>
      <rPr>
        <i/>
        <sz val="10"/>
        <rFont val="Arial"/>
        <family val="2"/>
      </rPr>
      <t>USM</t>
    </r>
    <r>
      <rPr>
        <sz val="10"/>
        <rFont val="Arial"/>
        <family val="2"/>
      </rPr>
      <t xml:space="preserve"> in E10.</t>
    </r>
  </si>
  <si>
    <t>Parameter</t>
  </si>
  <si>
    <t>Units</t>
  </si>
  <si>
    <t>Value Used in Applications Note</t>
  </si>
  <si>
    <t>Source</t>
  </si>
  <si>
    <t>User Value</t>
  </si>
  <si>
    <t>Equipment Cost Data</t>
  </si>
  <si>
    <t>Gas Box (or Stick or Component) Purchase Price</t>
  </si>
  <si>
    <t>$</t>
  </si>
  <si>
    <t>yrs</t>
  </si>
  <si>
    <t>assumed</t>
  </si>
  <si>
    <t>Support Equipment Purchase Price</t>
  </si>
  <si>
    <t>I300I Eqpt. Performance Metrics</t>
  </si>
  <si>
    <t>I300I Eqpt. Performance Metrics; Class 10</t>
  </si>
  <si>
    <t>I300I Eqpt. Performance Metrics; tungsten CVD</t>
  </si>
  <si>
    <t>%</t>
  </si>
  <si>
    <t>Fab-Specific Data</t>
  </si>
  <si>
    <t>$/wafer</t>
  </si>
  <si>
    <t>hrs/yr</t>
  </si>
  <si>
    <t>Inflation Rate</t>
  </si>
  <si>
    <t>$/yr</t>
  </si>
  <si>
    <t>Burdened Supervision Salary</t>
  </si>
  <si>
    <t>Burdened Operator Rate</t>
  </si>
  <si>
    <t>$/hr</t>
  </si>
  <si>
    <t>Burdened Maintenance Technician Rate</t>
  </si>
  <si>
    <t>$/m3</t>
  </si>
  <si>
    <t>RAM Data</t>
  </si>
  <si>
    <t>Scheduled Maintenance Downtime</t>
  </si>
  <si>
    <t>hrs/week</t>
  </si>
  <si>
    <t>hrs</t>
  </si>
  <si>
    <t>Average Response Time</t>
  </si>
  <si>
    <t>conversations with fab eqpt. engineers</t>
  </si>
  <si>
    <t>Time Required for Training</t>
  </si>
  <si>
    <t>Hourly Rate Paid for Training Per Student</t>
  </si>
  <si>
    <t>Materials Consumed for Training</t>
  </si>
  <si>
    <t>Operator Time Required for System Prove-In</t>
  </si>
  <si>
    <t>Unit Volume of Purge Gas Consumed</t>
  </si>
  <si>
    <t>Purge Gas Charge</t>
  </si>
  <si>
    <t>Unit Volume of Waste Generated</t>
  </si>
  <si>
    <t>Electricity Consumed on an Ongoing Basis</t>
  </si>
  <si>
    <t>Service Contract</t>
  </si>
  <si>
    <t>assumed no service contract</t>
  </si>
  <si>
    <t>Electricity Consumed Solely during Maintenance</t>
  </si>
  <si>
    <t>Cost of Test Wafer</t>
  </si>
  <si>
    <t>where:</t>
  </si>
  <si>
    <t>F$ =</t>
  </si>
  <si>
    <t>R$ =</t>
  </si>
  <si>
    <t>Y$ =</t>
  </si>
  <si>
    <t>L =</t>
  </si>
  <si>
    <t>SM =</t>
  </si>
  <si>
    <t>scheduled maintenance, hrs/week</t>
  </si>
  <si>
    <t>USM =</t>
  </si>
  <si>
    <t>unscheduled maintenance, hrs/week</t>
  </si>
  <si>
    <t>S =</t>
  </si>
  <si>
    <t>standby time, hrs/week</t>
  </si>
  <si>
    <t>Q =</t>
  </si>
  <si>
    <t>production qualification time, hrs/week</t>
  </si>
  <si>
    <t>E =</t>
  </si>
  <si>
    <t>H =</t>
  </si>
  <si>
    <t>These parameters are defined in SEMI E10.  Note that the units used here are consistent with those in E10.</t>
  </si>
  <si>
    <t>This model converts them to annual numbers.</t>
  </si>
  <si>
    <t>Depreciation</t>
  </si>
  <si>
    <t>Installation</t>
  </si>
  <si>
    <t>Floor Space</t>
  </si>
  <si>
    <t>Straight Line</t>
  </si>
  <si>
    <t>Fixed Declining Balance</t>
  </si>
  <si>
    <t>Double Declining Balance</t>
  </si>
  <si>
    <t>Year 1</t>
  </si>
  <si>
    <t>Year 2</t>
  </si>
  <si>
    <t>Year 3</t>
  </si>
  <si>
    <t>Year 4</t>
  </si>
  <si>
    <t>Year 5</t>
  </si>
  <si>
    <t>Year 6</t>
  </si>
  <si>
    <t>Year 7</t>
  </si>
  <si>
    <t>Year 8</t>
  </si>
  <si>
    <t>Year 9</t>
  </si>
  <si>
    <t>Year 10</t>
  </si>
  <si>
    <t>For Straight Line Depreciation, input SLN.  For Fixed Declining Balance Depreciation, input DB.  For Double Declining Balance Depreciation, input DDB.</t>
  </si>
  <si>
    <t>Fixed Cost Classification</t>
  </si>
  <si>
    <t>assumed part of purchase price</t>
  </si>
  <si>
    <t>OEM Field Service Time Required for System Prove-In</t>
  </si>
  <si>
    <t>Cost of OEM Field Service Billed to Fab In Addition to Purchase Price</t>
  </si>
  <si>
    <t>OEM Field Service Time Required for System Installation</t>
  </si>
  <si>
    <t>Supervision Time Required for System Installation</t>
  </si>
  <si>
    <t>Operator Time Required for System Installation</t>
  </si>
  <si>
    <t>Maintenance Technician Time Required for System Installation</t>
  </si>
  <si>
    <t>Supervision Time Required for System Prove-In</t>
  </si>
  <si>
    <t>Burdened Equipment Engineering Salary</t>
  </si>
  <si>
    <t>Burdened Process Engineering Salary</t>
  </si>
  <si>
    <t>assumed same as Equipment Engineering</t>
  </si>
  <si>
    <t>Equipment Engineering Time Required for System Installation</t>
  </si>
  <si>
    <t>Process Engineering Time Required for System Installation</t>
  </si>
  <si>
    <t>Equipment Engineering Time Required for System Prove-In</t>
  </si>
  <si>
    <t>Process Engineering Time Required for System Prove-In</t>
  </si>
  <si>
    <t>Cost to Equipment Engineering</t>
  </si>
  <si>
    <t>Cost to Process Engineering</t>
  </si>
  <si>
    <t>Cost to Maintenance</t>
  </si>
  <si>
    <t>Cost to Operations</t>
  </si>
  <si>
    <t>Cost to Supervision</t>
  </si>
  <si>
    <t>Training Time Billed by OEM</t>
  </si>
  <si>
    <t>person</t>
  </si>
  <si>
    <t>Number of Equipment Engineers Trained</t>
  </si>
  <si>
    <t>Number of Process Engineers Trained</t>
  </si>
  <si>
    <t>Number of Supervisors Trained</t>
  </si>
  <si>
    <t>Number of Operators Trained</t>
  </si>
  <si>
    <t>Number of Maintenance Technicians Trained</t>
  </si>
  <si>
    <t>hrs/person</t>
  </si>
  <si>
    <t>Fab Costs Incurred to Move/Rearrange Equipment to Accommodate Gas Box</t>
  </si>
  <si>
    <t>not applicable</t>
  </si>
  <si>
    <t>Gas Box</t>
  </si>
  <si>
    <t>Support Equipment</t>
  </si>
  <si>
    <t>Recurring Cost Classification</t>
  </si>
  <si>
    <t>Material</t>
  </si>
  <si>
    <t>Maintenance</t>
  </si>
  <si>
    <t>Labor</t>
  </si>
  <si>
    <t>Support Personnel</t>
  </si>
  <si>
    <t>Scrap</t>
  </si>
  <si>
    <t>Support Services</t>
  </si>
  <si>
    <t>Test/Filler Wafers</t>
  </si>
  <si>
    <t>Utilities</t>
  </si>
  <si>
    <t>Waste Disposal</t>
  </si>
  <si>
    <t>Spare Parts</t>
  </si>
  <si>
    <t>Repair Parts</t>
  </si>
  <si>
    <t>Equipment Engineering</t>
  </si>
  <si>
    <t>Process Engineering</t>
  </si>
  <si>
    <t>Supervision</t>
  </si>
  <si>
    <t>Operations</t>
  </si>
  <si>
    <t>OEM Field Service</t>
  </si>
  <si>
    <t>calculated from published prices of components assuming a typical stick layout and 20 sticks</t>
  </si>
  <si>
    <t>Support Equipment Scrap Value</t>
  </si>
  <si>
    <t>Gas Box (or Stick or Component) Scrap Value</t>
  </si>
  <si>
    <t>Operator</t>
  </si>
  <si>
    <t>Maintenance Technician</t>
  </si>
  <si>
    <t>Maintenance Technician Time Required for System Prove-In</t>
  </si>
  <si>
    <t>OEM Field Process</t>
  </si>
  <si>
    <t>OEM Field Process Rate Billed to Fab</t>
  </si>
  <si>
    <t>OEM Field Service Rate Billed to Fab</t>
  </si>
  <si>
    <t>OEM Field Process Time Required for System Installation</t>
  </si>
  <si>
    <t>Cost of OEM Field Process Billed to Fab in Addition to Purchase Price</t>
  </si>
  <si>
    <t>OEM Field Process Time Required for System Prove-In</t>
  </si>
  <si>
    <t>The shaded cells contain the subtotal cost for each cost classification.</t>
  </si>
  <si>
    <t>Total Fixed Costs</t>
  </si>
  <si>
    <t>Waste/Exhaust Charge</t>
  </si>
  <si>
    <t>Total Recurring Costs</t>
  </si>
  <si>
    <t>Annual ESH Charge</t>
  </si>
  <si>
    <t>Other</t>
  </si>
  <si>
    <t>Other Annual Charge</t>
  </si>
  <si>
    <t>ESH</t>
  </si>
  <si>
    <t>Electricity Charge</t>
  </si>
  <si>
    <t>Chilled Water Charge</t>
  </si>
  <si>
    <t>Chilled Water Consumed on an Ongoing Basis</t>
  </si>
  <si>
    <t>$/maintenance event</t>
  </si>
  <si>
    <t>assumes MFC costs $1900 and an inventory equal to 10% of the installed base is maintained</t>
  </si>
  <si>
    <t>assumed the only supplies are nickel gaskets</t>
  </si>
  <si>
    <t>Frequency of Training</t>
  </si>
  <si>
    <t>events/yr</t>
  </si>
  <si>
    <t>Equipment Engineering Time Required per Maintenance Event</t>
  </si>
  <si>
    <t>Process Engineering Time Required per Maintenance Event</t>
  </si>
  <si>
    <t>Supervision Time Required per Maintenance Event</t>
  </si>
  <si>
    <t>Operator Time Required per Maintenance Event</t>
  </si>
  <si>
    <t>Maintenance Technician Time Required per Maintenance Event</t>
  </si>
  <si>
    <t>OEM Field Service Time Required per Maintenance Event</t>
  </si>
  <si>
    <t>OEM Field Process Time Required per Maintenance Event</t>
  </si>
  <si>
    <t>Installation Data</t>
  </si>
  <si>
    <t>Qualification Data</t>
  </si>
  <si>
    <t>Labor Required to Operate the Equipment</t>
  </si>
  <si>
    <t>Labor Required to Support the Equipment</t>
  </si>
  <si>
    <t>Labor Per Maintenance Event</t>
  </si>
  <si>
    <t>Detroit Edison</t>
  </si>
  <si>
    <t xml:space="preserve">Note:  This sheet calculates annual costs for 10 years for each of the cost classifications, regardless of useful life of equipment.  </t>
  </si>
  <si>
    <t>Annual</t>
  </si>
  <si>
    <t>Cumulative</t>
  </si>
  <si>
    <t>hrs/maintenance event</t>
  </si>
  <si>
    <t>This sheet defines the cost classifications used in computing Cost of Ownership.  The definitions are taken from SEMI E35.</t>
  </si>
  <si>
    <t>Equipment</t>
  </si>
  <si>
    <t>System Qualification</t>
  </si>
  <si>
    <t>Moves &amp; Rearrangements</t>
  </si>
  <si>
    <t>Hourly Rate Paid for Training</t>
  </si>
  <si>
    <t>Results</t>
  </si>
  <si>
    <t>annualized recurring costs, $</t>
  </si>
  <si>
    <t>Fixed Costs</t>
  </si>
  <si>
    <t>Recurring Costs</t>
  </si>
  <si>
    <t>Total Costs</t>
  </si>
  <si>
    <t>Cumulative Fixed Costs</t>
  </si>
  <si>
    <t>Cumulative Recurring Costs</t>
  </si>
  <si>
    <t>Cumulative Total Costs</t>
  </si>
  <si>
    <t>annualized yield costs, $</t>
  </si>
  <si>
    <t>annualized fixed costs, $</t>
  </si>
  <si>
    <t>SLN</t>
  </si>
  <si>
    <t>and "Annualized Yield Costs," respectively.</t>
  </si>
  <si>
    <t>Yield Cost Classification</t>
  </si>
  <si>
    <t>Equipment Yield</t>
  </si>
  <si>
    <t>Total Yield Costs</t>
  </si>
  <si>
    <t>dimensionless</t>
  </si>
  <si>
    <t>Inputs for Annualized Yield Costs</t>
  </si>
  <si>
    <t>Wy =</t>
  </si>
  <si>
    <t>Wd =</t>
  </si>
  <si>
    <t>Wp =</t>
  </si>
  <si>
    <t>P$ =</t>
  </si>
  <si>
    <t>T$ =</t>
  </si>
  <si>
    <t>number of wafers lost to equipment yield</t>
  </si>
  <si>
    <t>number of equivalent wafers lost to defect limited yield</t>
  </si>
  <si>
    <t>number of equivalent wafers lost to parametric limited yield</t>
  </si>
  <si>
    <t>value of wafer at beginning of process step</t>
  </si>
  <si>
    <t>value of wafer at end of process step</t>
  </si>
  <si>
    <t>Defect Limited Yield</t>
  </si>
  <si>
    <t>Parametric Limited Yield</t>
  </si>
  <si>
    <t>These are accounted for in Y$.</t>
  </si>
  <si>
    <t>Yield Costs</t>
  </si>
  <si>
    <t>Cumulative Yield Costs</t>
  </si>
  <si>
    <t>Total Cost, $</t>
  </si>
  <si>
    <t>The categories listed below constitute the contributions to Yield Costs.  The formula for calculating Yield Costs is given on its sheet.</t>
  </si>
  <si>
    <t>Support Equipment Depreciable Life (must be same as Gas Box Depreciable Life for purposes of COO)</t>
  </si>
  <si>
    <t>Support Equipment Useful Life (must be same as Gas Box Useful Life for purposes of COO)</t>
  </si>
  <si>
    <t>$/m2/yr</t>
  </si>
  <si>
    <t>m2</t>
  </si>
  <si>
    <t>$/kWh</t>
  </si>
  <si>
    <t>kWh/maintenance event</t>
  </si>
  <si>
    <t>TA8</t>
  </si>
  <si>
    <t>TA10</t>
  </si>
  <si>
    <t>TA11</t>
  </si>
  <si>
    <t>TA12</t>
  </si>
  <si>
    <t>TA13</t>
  </si>
  <si>
    <t>TA14</t>
  </si>
  <si>
    <t>TA15</t>
  </si>
  <si>
    <t>TA16</t>
  </si>
  <si>
    <t>TA17</t>
  </si>
  <si>
    <t>TA18</t>
  </si>
  <si>
    <t>TA19</t>
  </si>
  <si>
    <t>TA20</t>
  </si>
  <si>
    <t>TA21</t>
  </si>
  <si>
    <t>TA22</t>
  </si>
  <si>
    <t>TA23</t>
  </si>
  <si>
    <t>TA25</t>
  </si>
  <si>
    <t>TA26</t>
  </si>
  <si>
    <t>TA27</t>
  </si>
  <si>
    <t>TA28</t>
  </si>
  <si>
    <t>TA29</t>
  </si>
  <si>
    <t>TA30</t>
  </si>
  <si>
    <t>TA31</t>
  </si>
  <si>
    <t>TA32</t>
  </si>
  <si>
    <t>TA33</t>
  </si>
  <si>
    <t>TA34</t>
  </si>
  <si>
    <t>TA35</t>
  </si>
  <si>
    <t>TA36</t>
  </si>
  <si>
    <t>TA37</t>
  </si>
  <si>
    <t>TA38</t>
  </si>
  <si>
    <t>TA39</t>
  </si>
  <si>
    <t>TA40</t>
  </si>
  <si>
    <t>TA41</t>
  </si>
  <si>
    <t>TA42</t>
  </si>
  <si>
    <t>TA43</t>
  </si>
  <si>
    <t>TA44</t>
  </si>
  <si>
    <t>TA45</t>
  </si>
  <si>
    <t>TA47</t>
  </si>
  <si>
    <t>TA48</t>
  </si>
  <si>
    <t>TA49</t>
  </si>
  <si>
    <t>TA50</t>
  </si>
  <si>
    <t>TA51</t>
  </si>
  <si>
    <t>TA52</t>
  </si>
  <si>
    <t>TA53</t>
  </si>
  <si>
    <t>TA54</t>
  </si>
  <si>
    <t>TA55</t>
  </si>
  <si>
    <t>TA56</t>
  </si>
  <si>
    <t>TA57</t>
  </si>
  <si>
    <t>TA58</t>
  </si>
  <si>
    <t>TA59</t>
  </si>
  <si>
    <t>TA60</t>
  </si>
  <si>
    <t>TA61</t>
  </si>
  <si>
    <t>TA62</t>
  </si>
  <si>
    <t>TA63</t>
  </si>
  <si>
    <t>TA64</t>
  </si>
  <si>
    <t>TA65</t>
  </si>
  <si>
    <t>TA66</t>
  </si>
  <si>
    <t>TA67</t>
  </si>
  <si>
    <t>TA68</t>
  </si>
  <si>
    <t>TA69</t>
  </si>
  <si>
    <t>TA70</t>
  </si>
  <si>
    <t>TA71</t>
  </si>
  <si>
    <t>TA72</t>
  </si>
  <si>
    <t>TA73</t>
  </si>
  <si>
    <t>TA74</t>
  </si>
  <si>
    <t>TA76</t>
  </si>
  <si>
    <t>TA77</t>
  </si>
  <si>
    <t>TA78</t>
  </si>
  <si>
    <t>TA79</t>
  </si>
  <si>
    <t>TA80</t>
  </si>
  <si>
    <t>TA81</t>
  </si>
  <si>
    <t>TA82</t>
  </si>
  <si>
    <t>TA83</t>
  </si>
  <si>
    <t>TA84</t>
  </si>
  <si>
    <t>TA85</t>
  </si>
  <si>
    <t>TA86</t>
  </si>
  <si>
    <t>TA87</t>
  </si>
  <si>
    <t>TA88</t>
  </si>
  <si>
    <t>TA89</t>
  </si>
  <si>
    <t>TA90</t>
  </si>
  <si>
    <t>TA91</t>
  </si>
  <si>
    <t>TA92</t>
  </si>
  <si>
    <t>TA93</t>
  </si>
  <si>
    <t>TA94</t>
  </si>
  <si>
    <t>TA95</t>
  </si>
  <si>
    <t>TA96</t>
  </si>
  <si>
    <t>TA97</t>
  </si>
  <si>
    <t>TA98</t>
  </si>
  <si>
    <t>TA100</t>
  </si>
  <si>
    <t>TA101</t>
  </si>
  <si>
    <t>TA103</t>
  </si>
  <si>
    <t>TA104</t>
  </si>
  <si>
    <t>TA105</t>
  </si>
  <si>
    <t>TA106</t>
  </si>
  <si>
    <t>TA108</t>
  </si>
  <si>
    <t>TA109</t>
  </si>
  <si>
    <t>TA110</t>
  </si>
  <si>
    <t>TA111</t>
  </si>
  <si>
    <t>TA112</t>
  </si>
  <si>
    <t>TA113</t>
  </si>
  <si>
    <t>TA114</t>
  </si>
  <si>
    <t>TA115</t>
  </si>
  <si>
    <t>TA116</t>
  </si>
  <si>
    <t>TA117</t>
  </si>
  <si>
    <t>TA118</t>
  </si>
  <si>
    <t>TA119</t>
  </si>
  <si>
    <t>TA120</t>
  </si>
  <si>
    <t>TA121</t>
  </si>
  <si>
    <t>TA122</t>
  </si>
  <si>
    <t>TA123</t>
  </si>
  <si>
    <t>TA124</t>
  </si>
  <si>
    <t>TA125</t>
  </si>
  <si>
    <t>TA126</t>
  </si>
  <si>
    <t>TA127</t>
  </si>
  <si>
    <t>TA128</t>
  </si>
  <si>
    <t>TA129</t>
  </si>
  <si>
    <t>TA130</t>
  </si>
  <si>
    <t>TA131</t>
  </si>
  <si>
    <t>TA132</t>
  </si>
  <si>
    <t>TA133</t>
  </si>
  <si>
    <t>TA134</t>
  </si>
  <si>
    <t>TA135</t>
  </si>
  <si>
    <t>TA136</t>
  </si>
  <si>
    <t>TA137</t>
  </si>
  <si>
    <t>TA138</t>
  </si>
  <si>
    <t>TA139</t>
  </si>
  <si>
    <t>TA140</t>
  </si>
  <si>
    <t>TA141</t>
  </si>
  <si>
    <t>TA142</t>
  </si>
  <si>
    <t>TA143</t>
  </si>
  <si>
    <t>TA145</t>
  </si>
  <si>
    <t>TA146</t>
  </si>
  <si>
    <t>Equipment-Specific Data</t>
  </si>
  <si>
    <t>Equipment Throughput</t>
  </si>
  <si>
    <t>Value of Wafer Entering Equipment</t>
  </si>
  <si>
    <t>Value of Wafer Exiting Equipment</t>
  </si>
  <si>
    <t>Standby Time (independent of process equipment standby time)</t>
  </si>
  <si>
    <t>Equipment Requalification Costs</t>
  </si>
  <si>
    <t>Equipment Throughput, wafers/yr</t>
  </si>
  <si>
    <t>Category (i)</t>
  </si>
  <si>
    <t>Cost Element (j)</t>
  </si>
  <si>
    <t>Description</t>
  </si>
  <si>
    <t>Method</t>
  </si>
  <si>
    <t>Acquisition</t>
  </si>
  <si>
    <t>Expressed in terms of equipment cost (i.e., purchase price), transportation, taxes, duties, interest, actual burdened costs for labor-hours of effort multiplied by the number of hours for each equipment user’s personnel type, etc.  May be allocated to annual costs using any accepted depreciation schedule (e.g., straight-line, double declining balance).</t>
  </si>
  <si>
    <t>Expressed in terms of actual burdened costs for labor-hours of effort multiplied by the number of hours for each equipment user’s personnel type and cost of installation materials (e.g., pipe, wiring).</t>
  </si>
  <si>
    <t>Qualification</t>
  </si>
  <si>
    <t>Expressed in terms of actual burdened costs for labor-hours of effort multiplied by the number of hours for each equipment user’s personnel type and cost of consumable parts and consumable materials.</t>
  </si>
  <si>
    <t>Decommissioning</t>
  </si>
  <si>
    <t>Expressed in terms of actual burdened costs for labor-hours of effort multiplied by the number of hours for each equipment user’s personnel type and costs of transportation and decommissioning materials (e.g., purge gases, packaging).  May deduct the salvage value from the fixed costs.</t>
  </si>
  <si>
    <t>Facilities</t>
  </si>
  <si>
    <t>Moves and Rearrangements</t>
  </si>
  <si>
    <t>Expressed in terms of actual burdened costs for labor-hours of effort multiplied by the number of hours for each equipment user’s personnel type and costs of transportation and moving-related materials (e.g., purge gases, packaging).</t>
  </si>
  <si>
    <t>Costs of the cleanroom overhead allocated to the piece of equipment.</t>
  </si>
  <si>
    <t>Category (k)</t>
  </si>
  <si>
    <t>Cost Element (m)</t>
  </si>
  <si>
    <t>Consumable</t>
  </si>
  <si>
    <t>Consumable Parts</t>
  </si>
  <si>
    <t>Monitor Units</t>
  </si>
  <si>
    <t>Consumable Materials</t>
  </si>
  <si>
    <t>Costs of removing and treating spent chemical or effluent.</t>
  </si>
  <si>
    <t>Costs of nonconsumable spare parts inventory for equipment user.</t>
  </si>
  <si>
    <t>Costs of nonconsumable repair parts charged to the equipment user.</t>
  </si>
  <si>
    <t>Costs of service contract charged to the equipment user.</t>
  </si>
  <si>
    <t>Calculate the number of supervision labor hours required based on equipment and manufacturing specifications.  Multiply the actual burdened costs for labor-hours of effort by the total number of hours for equipment purchaser’s supervisors.</t>
  </si>
  <si>
    <t>Engineering</t>
  </si>
  <si>
    <t>Costs of the support service labor required to support operations and engineering.</t>
  </si>
  <si>
    <t>Calculate the number of support service labor hours required.  Multiply the actual burdened costs for labor-hours of effort by the total number of hours for equipment purchaser’s support service personnel.</t>
  </si>
  <si>
    <t>Category</t>
  </si>
  <si>
    <t>Cost Element</t>
  </si>
  <si>
    <t>Equipment Yield (EY) Loss</t>
  </si>
  <si>
    <t>Defect Limited Yield (DLY) Loss</t>
  </si>
  <si>
    <t>Parametric Limited Yield (PLY) Loss</t>
  </si>
  <si>
    <t>TA102</t>
  </si>
  <si>
    <t>TA147</t>
  </si>
  <si>
    <t>TA148</t>
  </si>
  <si>
    <t>TA149</t>
  </si>
  <si>
    <t>TA150</t>
  </si>
  <si>
    <t>TA151</t>
  </si>
  <si>
    <t>TA152</t>
  </si>
  <si>
    <t>This sheet lists the Cost of Ownership (COO) equation and defines each term in the equation.</t>
  </si>
  <si>
    <t>Note: Excludes time to test and restart production after a failure, which is included in E10.</t>
  </si>
  <si>
    <t>Note: Calculates time to test and restart production after a failure, which is included in USM in E10.</t>
  </si>
  <si>
    <t>TA107</t>
  </si>
  <si>
    <r>
      <t>This Section Contains Data Related to Equipment Installation</t>
    </r>
    <r>
      <rPr>
        <b/>
        <u/>
        <sz val="10"/>
        <color indexed="56"/>
        <rFont val="Arial"/>
        <family val="2"/>
      </rPr>
      <t>.</t>
    </r>
  </si>
  <si>
    <r>
      <t>This Section Contains Data Specific to the Process Equipment and Costs Specific to a Particular Fab</t>
    </r>
    <r>
      <rPr>
        <b/>
        <u/>
        <sz val="10"/>
        <color indexed="56"/>
        <rFont val="Arial"/>
        <family val="2"/>
      </rPr>
      <t>.</t>
    </r>
  </si>
  <si>
    <t>This Section Contains Data for Routine Operation of the Equipment.</t>
  </si>
  <si>
    <t>production life of equipment, hrs</t>
  </si>
  <si>
    <t>TP =</t>
  </si>
  <si>
    <t>throughput, units/hr</t>
  </si>
  <si>
    <t>PRY =</t>
  </si>
  <si>
    <t>product yield, dimensionless</t>
  </si>
  <si>
    <t>TU =</t>
  </si>
  <si>
    <t>total utilization, dimensionless</t>
  </si>
  <si>
    <t xml:space="preserve">TU = </t>
  </si>
  <si>
    <t>N =</t>
  </si>
  <si>
    <t>engineering time, hrs/week</t>
  </si>
  <si>
    <r>
      <t xml:space="preserve">total number of </t>
    </r>
    <r>
      <rPr>
        <sz val="10"/>
        <rFont val="Arial"/>
        <family val="2"/>
      </rPr>
      <t xml:space="preserve">hours </t>
    </r>
    <r>
      <rPr>
        <sz val="10"/>
        <rFont val="Arial"/>
        <family val="2"/>
      </rPr>
      <t>per week, hrs/week</t>
    </r>
  </si>
  <si>
    <t>This Section Contains Equipment Acquisition, Lifetime, and Space Cost Data.</t>
  </si>
  <si>
    <t>Row Number Corresponding to Table I in Related Information 1</t>
  </si>
  <si>
    <t>Cost Footprint (CF) or Floor Space Required for Gas Box (or Stick or Component)</t>
  </si>
  <si>
    <t>Gas Box (or Stick or Component) Tax Lifetime (must be 10 or less)</t>
  </si>
  <si>
    <t>Gas Box (or Stick or Component) Production Lifetime (must be 10 or less)</t>
  </si>
  <si>
    <t>units/hr</t>
  </si>
  <si>
    <t>Total Time per Year (365 days/yr X 24 hrs/day)</t>
  </si>
  <si>
    <t>Deionized (DI) or Ultrapure Water Charge</t>
  </si>
  <si>
    <t>Consumable Materials Consumed for Training</t>
  </si>
  <si>
    <t>Consumable Materials Consumed for System Prove-In</t>
  </si>
  <si>
    <t>Consumable Materials Used During Operation of the Equipment</t>
  </si>
  <si>
    <t>m3/unit</t>
  </si>
  <si>
    <t>number/unit</t>
  </si>
  <si>
    <t>kWh/unit</t>
  </si>
  <si>
    <t>Deionized or Ultrapure Water Consumed on an Ongoing Basis</t>
  </si>
  <si>
    <t>Consumable Parts (Parts that are Worn Out During Normal Operation and Require Replacement after Less than One Year of Operation)</t>
  </si>
  <si>
    <t>Consumable Parts Purchase Price</t>
  </si>
  <si>
    <t>Consumable Parts Life</t>
  </si>
  <si>
    <t>hrs/unit</t>
  </si>
  <si>
    <t>Engineering Time</t>
  </si>
  <si>
    <t>Mean Time to Restart Production (per repair)</t>
  </si>
  <si>
    <t>Nonscheduled Time</t>
  </si>
  <si>
    <t>Mean (Productive) Time Between Failures (MTBFp)</t>
  </si>
  <si>
    <t>Mean Time to Repair (MTTR), excluding test and restart production times</t>
  </si>
  <si>
    <t>Mean Time to Test (per repair)</t>
  </si>
  <si>
    <t>Nonpersonnel Maintenance Costs</t>
  </si>
  <si>
    <t>Spare Parts Inventory Cost to Fab</t>
  </si>
  <si>
    <t>Number of Test Units Consumed</t>
  </si>
  <si>
    <t>units/maintenance event</t>
  </si>
  <si>
    <t>Other Consumable Materials Required to Requalify Equipment</t>
  </si>
  <si>
    <t>unit</t>
  </si>
  <si>
    <t>Note:  Yield Costs Are Only Those Caused by Gas Box Problems, Not Other Problems on the Equipment.</t>
  </si>
  <si>
    <t>Number of Units Lost to Equipment Yield</t>
  </si>
  <si>
    <t>Number of Equivalent Units Lost to Defect Limited Yield</t>
  </si>
  <si>
    <t>Number of Equivalent Units Lost to Parametric Limited Yield</t>
  </si>
  <si>
    <t>This Section Contains Data Related to Yield.</t>
  </si>
  <si>
    <t>Consumable Materials Consumed</t>
  </si>
  <si>
    <r>
      <t>The non</t>
    </r>
    <r>
      <rPr>
        <sz val="10"/>
        <rFont val="Arial"/>
        <family val="2"/>
      </rPr>
      <t>shaded cells contain the individual cost contributions.</t>
    </r>
  </si>
  <si>
    <t>Test/Filler Units</t>
  </si>
  <si>
    <r>
      <t>The useful life of the equipment is accounted for in the total annualized cost (</t>
    </r>
    <r>
      <rPr>
        <sz val="10"/>
        <rFont val="Arial"/>
        <family val="2"/>
      </rPr>
      <t>i.e., annual cost is set to zero for years beyond useful life</t>
    </r>
    <r>
      <rPr>
        <sz val="10"/>
        <rFont val="Arial"/>
        <family val="2"/>
      </rPr>
      <t>).</t>
    </r>
  </si>
  <si>
    <t>Production Lifetime of Equipment, yrs</t>
  </si>
  <si>
    <t>Product Yield (PRY)</t>
  </si>
  <si>
    <t>Equipment Total Utilization, dimensionless</t>
  </si>
  <si>
    <t>Note:  The Cumulative Cost in the Last Year Should Equal the Total COO.</t>
  </si>
  <si>
    <t>Total COO, $/unit</t>
  </si>
  <si>
    <t>Yearly COO, $/unit</t>
  </si>
  <si>
    <t>Cumulative COO, $/unit</t>
  </si>
  <si>
    <t>Note:  Yearly Cost Per Unit Only Has Meaning for Years in which the Equipment Is Used to Produce Units.</t>
  </si>
  <si>
    <t xml:space="preserve">#1 The cost of cleanroom space per unit area of effective usable production space includes both the fixed and recurring operations costs as determined by a </t>
  </si>
  <si>
    <t>separate cost analysis outside the scope of this Guide.</t>
  </si>
  <si>
    <r>
      <t>Floor Space Rental Rate (Fed.  Std</t>
    </r>
    <r>
      <rPr>
        <u/>
        <sz val="10"/>
        <color rgb="FF0202BE"/>
        <rFont val="Arial"/>
        <family val="2"/>
      </rPr>
      <t>.</t>
    </r>
    <r>
      <rPr>
        <sz val="10"/>
        <rFont val="Arial"/>
        <family val="2"/>
      </rPr>
      <t xml:space="preserve"> 209E Class 10 or ISO Class 4)</t>
    </r>
  </si>
  <si>
    <r>
      <t>This sheet calculates the equipment total utilization term (</t>
    </r>
    <r>
      <rPr>
        <i/>
        <sz val="10"/>
        <rFont val="Arial"/>
        <family val="2"/>
      </rPr>
      <t>TU</t>
    </r>
    <r>
      <rPr>
        <sz val="10"/>
        <rFont val="Arial"/>
        <family val="2"/>
      </rPr>
      <t xml:space="preserve">) in the COO equation. </t>
    </r>
  </si>
  <si>
    <t>Elements of Fixed Cost by Category</t>
  </si>
  <si>
    <t>The next section is taken from the list of Fixed Costs in SEMI E35.</t>
  </si>
  <si>
    <r>
      <t xml:space="preserve">Costs of acquiring the </t>
    </r>
    <r>
      <rPr>
        <sz val="9"/>
        <rFont val="Arial"/>
        <family val="2"/>
      </rPr>
      <t>equipment.</t>
    </r>
  </si>
  <si>
    <r>
      <t xml:space="preserve">Costs of installing the </t>
    </r>
    <r>
      <rPr>
        <sz val="9"/>
        <rFont val="Arial"/>
        <family val="2"/>
      </rPr>
      <t>equipment for production.</t>
    </r>
  </si>
  <si>
    <r>
      <t xml:space="preserve">Costs of the initial training requirements for the new </t>
    </r>
    <r>
      <rPr>
        <sz val="9"/>
        <rFont val="Arial"/>
        <family val="2"/>
      </rPr>
      <t>equipment for operators, supervision, engineers, and maintenance personnel.</t>
    </r>
  </si>
  <si>
    <r>
      <t xml:space="preserve">Costs of qualifying the </t>
    </r>
    <r>
      <rPr>
        <sz val="9"/>
        <rFont val="Arial"/>
        <family val="2"/>
      </rPr>
      <t>equipment for production including acceptance testing</t>
    </r>
  </si>
  <si>
    <r>
      <t xml:space="preserve">Costs of removing the </t>
    </r>
    <r>
      <rPr>
        <sz val="9"/>
        <rFont val="Arial"/>
        <family val="2"/>
      </rPr>
      <t>equipment from production.</t>
    </r>
  </si>
  <si>
    <r>
      <t xml:space="preserve">Costs of displacing an existing </t>
    </r>
    <r>
      <rPr>
        <sz val="9"/>
        <rFont val="Arial"/>
        <family val="2"/>
      </rPr>
      <t>equipment in order to install the new piece of equipment.</t>
    </r>
  </si>
  <si>
    <t>Initial Training</t>
  </si>
  <si>
    <t>Expressed in terms of actual burdened costs for labor-hours of training multiplied by the number of training hours and training course costs, if applicable, for each equipment user’s personnel type.  Note that depending on accounting rules, some training course costs may be included as part of the equipment acquisition cost and should not be double counted. The costs of any consumable materials consumed for training purposes should also be included.</t>
  </si>
  <si>
    <r>
      <t xml:space="preserve">Multiply the </t>
    </r>
    <r>
      <rPr>
        <i/>
        <sz val="9"/>
        <rFont val="Arial"/>
        <family val="2"/>
      </rPr>
      <t>Acf</t>
    </r>
    <r>
      <rPr>
        <sz val="9"/>
        <rFont val="Arial"/>
        <family val="2"/>
      </rPr>
      <t xml:space="preserve"> of the piece of equipment by the cost of cleanroom space for each class of cleanroom space used.#1</t>
    </r>
  </si>
  <si>
    <t>The next section is taken from the table of Recurring Costs by Category in SEMI E35.</t>
  </si>
  <si>
    <t>Elements of Recurring Cost by Category</t>
  </si>
  <si>
    <t>Cost of all consumable parts of the equipment that are consumed by the process operation of the equipment with a predictable life expectancy of less than one year of operation. It requires periodic replacement to allow equipment to perform its intended function.</t>
  </si>
  <si>
    <r>
      <t xml:space="preserve">Expressed in terms of cost per </t>
    </r>
    <r>
      <rPr>
        <sz val="9"/>
        <rFont val="Arial"/>
        <family val="2"/>
      </rPr>
      <t>equipment per year.</t>
    </r>
  </si>
  <si>
    <r>
      <t xml:space="preserve">Multiply the number of monitor units consumed per </t>
    </r>
    <r>
      <rPr>
        <sz val="9"/>
        <rFont val="Arial"/>
        <family val="2"/>
      </rPr>
      <t>equipment by the cost of each type of monitor unit.</t>
    </r>
    <r>
      <rPr>
        <vertAlign val="superscript"/>
        <sz val="9"/>
        <rFont val="Arial"/>
        <family val="2"/>
      </rPr>
      <t>#1</t>
    </r>
  </si>
  <si>
    <r>
      <t xml:space="preserve">Costs of all monitor/test units, including filler units, consumed in the support of the </t>
    </r>
    <r>
      <rPr>
        <sz val="9"/>
        <rFont val="Arial"/>
        <family val="2"/>
      </rPr>
      <t>equipment.  This includes units consumed by destructive testing.</t>
    </r>
  </si>
  <si>
    <r>
      <t xml:space="preserve">Multiply the annual amount of each utility used per </t>
    </r>
    <r>
      <rPr>
        <sz val="9"/>
        <rFont val="Arial"/>
        <family val="2"/>
      </rPr>
      <t>equipment by the unit cost of each type of utility.</t>
    </r>
  </si>
  <si>
    <r>
      <t xml:space="preserve">Costs of all utilities (e.g., electricity, exhaust) used by the </t>
    </r>
    <r>
      <rPr>
        <sz val="9"/>
        <rFont val="Arial"/>
        <family val="2"/>
      </rPr>
      <t>equipment.</t>
    </r>
  </si>
  <si>
    <r>
      <t xml:space="preserve">Cost of all consumable materials used by, or in support of, the </t>
    </r>
    <r>
      <rPr>
        <sz val="9"/>
        <rFont val="Arial"/>
        <family val="2"/>
      </rPr>
      <t xml:space="preserve">equipment at any time.  Examples include gases (e.g., Ar, air), liquids (e.g., acids, solvents, ultrapure water, cooling water, mold compounds), solids (e.g., </t>
    </r>
    <r>
      <rPr>
        <sz val="9"/>
        <rFont val="Arial"/>
        <family val="2"/>
      </rPr>
      <t>implant sources, bonding wire, lead frames).</t>
    </r>
  </si>
  <si>
    <r>
      <t xml:space="preserve">Multiply the annual amount of each consumable material used per </t>
    </r>
    <r>
      <rPr>
        <sz val="9"/>
        <rFont val="Arial"/>
        <family val="2"/>
      </rPr>
      <t>equipment by the unit cost of each type of consumable material. Note that some consumable materials (e.g., ultrapure water, process cooling water, natural gas) may be provided to the equipment by bulk distribution systems as part of the facility infrastructure.</t>
    </r>
  </si>
  <si>
    <r>
      <t xml:space="preserve">Multiply the annual amount of each spent chemical or effluent produced per </t>
    </r>
    <r>
      <rPr>
        <sz val="9"/>
        <rFont val="Arial"/>
        <family val="2"/>
      </rPr>
      <t>equipment by the unit cost of disposal of each type of spent chemical or effluent.  Equipment user may need to deduct the salvage value, if any, from the costs.</t>
    </r>
  </si>
  <si>
    <r>
      <t>Costs of equipment user’s internal repair and maintenance labor to maintain the</t>
    </r>
    <r>
      <rPr>
        <strike/>
        <sz val="9"/>
        <color rgb="FFFF0000"/>
        <rFont val="Arial"/>
        <family val="2"/>
      </rPr>
      <t xml:space="preserve"> </t>
    </r>
    <r>
      <rPr>
        <sz val="9"/>
        <rFont val="Arial"/>
        <family val="2"/>
      </rPr>
      <t>equipment.</t>
    </r>
  </si>
  <si>
    <r>
      <t>Expressed in terms of cost per</t>
    </r>
    <r>
      <rPr>
        <strike/>
        <sz val="9"/>
        <color rgb="FFFF0000"/>
        <rFont val="Arial"/>
        <family val="2"/>
      </rPr>
      <t xml:space="preserve"> </t>
    </r>
    <r>
      <rPr>
        <sz val="9"/>
        <rFont val="Arial"/>
        <family val="2"/>
      </rPr>
      <t>equipment per year.  Note that depending on accounting rules, an initial set of spare parts may be included as part of the equipment acquisition cost, a fixed cost. Equipment user should not double count the cost of a spare part as both a spare part and a consumable part.</t>
    </r>
  </si>
  <si>
    <t xml:space="preserve">Calculate the number of maintenance labor hours required for scheduled and unscheduled downtime based on using SEMI E10 metric inputs.  Multiply the actual burdened costs for labor-hours of effort multiplied by the number of hours for each equipment purchaser’s personnel type.  Equipment user may need to adjust actual hours required due to warranty and service contract coverage.  Note that operation labor hours are not included in this category. When calculating maintenance labor hours for MPCTs, use of the values for the appropriate intended process set (IPS) for the applicable recipe(s) is recommended instead of using maintenance labor hours for the overall MPCT. </t>
  </si>
  <si>
    <r>
      <t xml:space="preserve">Expressed in terms of cost per </t>
    </r>
    <r>
      <rPr>
        <sz val="9"/>
        <rFont val="Arial"/>
        <family val="2"/>
      </rPr>
      <t>equipment per year.  Equipment user should not double count the cost of a nonconsumable part as both a spare part and a repair part.</t>
    </r>
  </si>
  <si>
    <t>Costs of the supervision labor required to support the ER.</t>
  </si>
  <si>
    <t>Costs of the engineering labor required to support the ER.</t>
  </si>
  <si>
    <t>Ongoing Training</t>
  </si>
  <si>
    <t>Costs of the ongoing training requirements for the equipment for operators, supervision, engineers, and maintenance personnel.</t>
  </si>
  <si>
    <t>Expressed in terms of actual burdened costs for labor-hours of training multiplied by the number of training hours and training course costs, if applicable, for each equipment user’s personnel type. Note that the initial training for new equipment is included as part of the fixed costs and should not be double counted. The costs of any consumable materials consumed for training purposes should also be included.</t>
  </si>
  <si>
    <t>Calculate the number of engineering labor hours required based on equipment and manufacturing specifications.  Multiply the actual burdened costs for labor-hours of effort by the total number of hours for equipment purchaser’s engineers. Engineering may include process engineers, equipment engineers, software engineers, etc., but should not include labor hours already included in repairing or maintaining the equipment.</t>
  </si>
  <si>
    <t xml:space="preserve">#1 The cost of monitor units includes both their initial acquisition cost and any initial preparation or reprocessing costs, if applicable. Preparation and </t>
  </si>
  <si>
    <t>reprocessing costs may be calculated by summing the COOs from separate COO analyses of each of the preparation and reprocessing steps performed.</t>
  </si>
  <si>
    <t>The next section is taken from the table of Recurring Scrap Costs by Category in SEMI E35.</t>
  </si>
  <si>
    <t>Elements of Recurring Scrap Cost by Category</t>
  </si>
  <si>
    <r>
      <t>Costs of units lost, broken, or irreversibly misprocessed by the</t>
    </r>
    <r>
      <rPr>
        <sz val="9"/>
        <color rgb="FFFF0000"/>
        <rFont val="Arial"/>
        <family val="2"/>
      </rPr>
      <t xml:space="preserve"> </t>
    </r>
    <r>
      <rPr>
        <sz val="9"/>
        <rFont val="Arial"/>
        <family val="2"/>
      </rPr>
      <t>equipment.</t>
    </r>
  </si>
  <si>
    <r>
      <t xml:space="preserve">Calculate the </t>
    </r>
    <r>
      <rPr>
        <i/>
        <sz val="9"/>
        <rFont val="Arial"/>
        <family val="2"/>
      </rPr>
      <t>EY Loss</t>
    </r>
    <r>
      <rPr>
        <sz val="9"/>
        <rFont val="Arial"/>
        <family val="2"/>
      </rPr>
      <t xml:space="preserve"> as the fraction of units lost, broken, or irreversibly misprocessed by the equipment to the total number of units through the</t>
    </r>
    <r>
      <rPr>
        <strike/>
        <sz val="9"/>
        <color rgb="FFFF0000"/>
        <rFont val="Arial"/>
        <family val="2"/>
      </rPr>
      <t xml:space="preserve"> </t>
    </r>
    <r>
      <rPr>
        <sz val="9"/>
        <rFont val="Arial"/>
        <family val="2"/>
      </rPr>
      <t xml:space="preserve">equipment (i.e., 1 − </t>
    </r>
    <r>
      <rPr>
        <i/>
        <sz val="9"/>
        <rFont val="Arial"/>
        <family val="2"/>
      </rPr>
      <t>EY</t>
    </r>
    <r>
      <rPr>
        <sz val="9"/>
        <rFont val="Arial"/>
        <family val="2"/>
      </rPr>
      <t xml:space="preserve">).  Multiply </t>
    </r>
    <r>
      <rPr>
        <i/>
        <sz val="9"/>
        <rFont val="Arial"/>
        <family val="2"/>
      </rPr>
      <t>EY Loss</t>
    </r>
    <r>
      <rPr>
        <sz val="9"/>
        <rFont val="Arial"/>
        <family val="2"/>
      </rPr>
      <t xml:space="preserve"> by the total number of units started through the </t>
    </r>
    <r>
      <rPr>
        <sz val="9"/>
        <rFont val="Arial"/>
        <family val="2"/>
      </rPr>
      <t xml:space="preserve">equipment and by the actual total costs invested in a unit at that step in the process (e.g., sum of initial unit starting cost and COOs for all process steps prior to and including that step). </t>
    </r>
  </si>
  <si>
    <r>
      <t xml:space="preserve">Costs of units lost due to electrical or inspection rejects due to defects caused by the </t>
    </r>
    <r>
      <rPr>
        <sz val="9"/>
        <rFont val="Arial"/>
        <family val="2"/>
      </rPr>
      <t>equipment.</t>
    </r>
  </si>
  <si>
    <r>
      <t xml:space="preserve">Calculate the </t>
    </r>
    <r>
      <rPr>
        <i/>
        <sz val="9"/>
        <rFont val="Arial"/>
        <family val="2"/>
      </rPr>
      <t>DLY Loss</t>
    </r>
    <r>
      <rPr>
        <sz val="9"/>
        <rFont val="Arial"/>
        <family val="2"/>
      </rPr>
      <t xml:space="preserve"> as the fraction of units lost due to electrical or inspection rejects due to defects caused by the</t>
    </r>
    <r>
      <rPr>
        <sz val="9"/>
        <rFont val="Arial"/>
        <family val="2"/>
      </rPr>
      <t xml:space="preserve">equipment (i.e., 1 − </t>
    </r>
    <r>
      <rPr>
        <i/>
        <sz val="9"/>
        <rFont val="Arial"/>
        <family val="2"/>
      </rPr>
      <t>DY</t>
    </r>
    <r>
      <rPr>
        <sz val="9"/>
        <rFont val="Arial"/>
        <family val="2"/>
      </rPr>
      <t>).  For wafers, defect yield (</t>
    </r>
    <r>
      <rPr>
        <i/>
        <sz val="9"/>
        <rFont val="Arial"/>
        <family val="2"/>
      </rPr>
      <t>DY</t>
    </r>
    <r>
      <rPr>
        <sz val="9"/>
        <rFont val="Arial"/>
        <family val="2"/>
      </rPr>
      <t>) may be calculated using a modified Seed’s formula:</t>
    </r>
  </si>
  <si>
    <r>
      <t xml:space="preserve">where </t>
    </r>
    <r>
      <rPr>
        <i/>
        <sz val="9"/>
        <rFont val="Arial"/>
        <family val="2"/>
      </rPr>
      <t>AA</t>
    </r>
    <r>
      <rPr>
        <sz val="9"/>
        <rFont val="Arial"/>
        <family val="2"/>
      </rPr>
      <t xml:space="preserve"> is the active area of the device, </t>
    </r>
    <r>
      <rPr>
        <i/>
        <sz val="9"/>
        <rFont val="Arial"/>
        <family val="2"/>
      </rPr>
      <t>DD</t>
    </r>
    <r>
      <rPr>
        <sz val="9"/>
        <rFont val="Arial"/>
        <family val="2"/>
      </rPr>
      <t xml:space="preserve"> is the defect density, and </t>
    </r>
    <r>
      <rPr>
        <i/>
        <sz val="9"/>
        <rFont val="Arial"/>
        <family val="2"/>
      </rPr>
      <t>FP</t>
    </r>
    <r>
      <rPr>
        <sz val="9"/>
        <rFont val="Arial"/>
        <family val="2"/>
      </rPr>
      <t xml:space="preserve"> is the fault probability that a defect caused by the equipment will be fatal.  Multiply </t>
    </r>
    <r>
      <rPr>
        <i/>
        <sz val="9"/>
        <rFont val="Arial"/>
        <family val="2"/>
      </rPr>
      <t>DLY Loss</t>
    </r>
    <r>
      <rPr>
        <sz val="9"/>
        <rFont val="Arial"/>
        <family val="2"/>
      </rPr>
      <t xml:space="preserve"> by the total number of units started through the equipment and by the actual total costs invested in a unit at that step in the process where it is lost (e.g., sum of initial unit starting cost and COOs for all prior process steps to the end of the process where it is tested). </t>
    </r>
  </si>
  <si>
    <r>
      <t xml:space="preserve">Calculate the </t>
    </r>
    <r>
      <rPr>
        <i/>
        <sz val="9"/>
        <rFont val="Arial"/>
        <family val="2"/>
      </rPr>
      <t>PLY Loss</t>
    </r>
    <r>
      <rPr>
        <sz val="9"/>
        <rFont val="Arial"/>
        <family val="2"/>
      </rPr>
      <t xml:space="preserve"> as the fraction of units lost (i.e., 1 − </t>
    </r>
    <r>
      <rPr>
        <i/>
        <sz val="9"/>
        <rFont val="Arial"/>
        <family val="2"/>
      </rPr>
      <t>PLY</t>
    </r>
    <r>
      <rPr>
        <sz val="9"/>
        <rFont val="Arial"/>
        <family val="2"/>
      </rPr>
      <t xml:space="preserve">).  Multiply </t>
    </r>
    <r>
      <rPr>
        <i/>
        <sz val="9"/>
        <rFont val="Arial"/>
        <family val="2"/>
      </rPr>
      <t>PLY Loss</t>
    </r>
    <r>
      <rPr>
        <sz val="9"/>
        <rFont val="Arial"/>
        <family val="2"/>
      </rPr>
      <t xml:space="preserve"> by total number of units started through the equipment and by the actual total costs invested in a unit at that step in the process where it is lost (e.g., sum of initial unit starting cost and COOs for all prior process steps to the end of the process where it is tested).</t>
    </r>
  </si>
  <si>
    <r>
      <t xml:space="preserve">Costs of units lost due to electrical or inspection rejects due to unit operating parameters being outside the required range caused by the </t>
    </r>
    <r>
      <rPr>
        <sz val="9"/>
        <rFont val="Arial"/>
        <family val="2"/>
      </rPr>
      <t>equipment.  This includes mistested units.</t>
    </r>
  </si>
  <si>
    <t>This Section Contains Data Related to RAM and Ongoing Maintenance.</t>
  </si>
  <si>
    <t>Initial Training Data (One-Time Training at Installation.  Ongoing Training Is Accounted for under Reliability, Availability, and Maintainability (RAM) and Ongoing Maintenance.)</t>
  </si>
  <si>
    <t>Acf or Floor Space Required for Support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</si>
</sst>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3" formatCode="_(* #,##0.00_);_(* \(#,##0.00\);_(* &quot;-&quot;??_);_(@_)"/>
    <numFmt numFmtId="164" formatCode="0.0"/>
    <numFmt numFmtId="165" formatCode="0.000"/>
    <numFmt numFmtId="166" formatCode="0.0000"/>
    <numFmt numFmtId="167" formatCode="&quot;$&quot;#,##0.0000"/>
    <numFmt numFmtId="168" formatCode="&quot;$&quot;#,##0"/>
    <numFmt numFmtId="169" formatCode="_(* #,##0_);_(* \(#,##0\);_(* &quot;-&quot;??_);_(@_)"/>
    <numFmt numFmtId="170" formatCode="#,##0.0000"/>
  </numFmts>
  <fonts count="25" x14ac:knownFonts="1">
    <font>
      <sz val="10"/>
      <name val="Arial"/>
    </font>
    <font>
      <b/>
      <sz val="10"/>
      <name val="Arial"/>
      <family val="2"/>
    </font>
    <font>
      <i/>
      <sz val="10"/>
      <name val="Arial"/>
      <family val="2"/>
    </font>
    <font>
      <sz val="10"/>
      <name val="Arial"/>
      <family val="2"/>
    </font>
    <font>
      <i/>
      <sz val="10"/>
      <name val="Arial"/>
      <family val="2"/>
    </font>
    <font>
      <sz val="10"/>
      <color indexed="10"/>
      <name val="Arial"/>
      <family val="2"/>
    </font>
    <font>
      <b/>
      <sz val="10"/>
      <name val="Arial"/>
      <family val="2"/>
    </font>
    <font>
      <sz val="10"/>
      <name val="Arial"/>
      <family val="2"/>
    </font>
    <font>
      <i/>
      <sz val="8"/>
      <name val="Arial"/>
      <family val="2"/>
    </font>
    <font>
      <strike/>
      <sz val="10"/>
      <color indexed="10"/>
      <name val="Arial"/>
      <family val="2"/>
    </font>
    <font>
      <strike/>
      <sz val="10"/>
      <color indexed="10"/>
      <name val="Arial"/>
      <family val="2"/>
    </font>
    <font>
      <b/>
      <u/>
      <sz val="10"/>
      <color indexed="56"/>
      <name val="Arial"/>
      <family val="2"/>
    </font>
    <font>
      <u/>
      <sz val="10"/>
      <color indexed="12"/>
      <name val="Arial"/>
      <family val="2"/>
    </font>
    <font>
      <sz val="10"/>
      <name val="Arial"/>
      <family val="2"/>
    </font>
    <font>
      <sz val="10"/>
      <name val="Arial"/>
      <family val="2"/>
    </font>
    <font>
      <sz val="10"/>
      <name val="Arial"/>
      <family val="2"/>
    </font>
    <font>
      <i/>
      <sz val="10"/>
      <color indexed="10"/>
      <name val="Arial"/>
      <family val="2"/>
    </font>
    <font>
      <b/>
      <i/>
      <sz val="10"/>
      <color indexed="10"/>
      <name val="Arial"/>
      <family val="2"/>
    </font>
    <font>
      <i/>
      <sz val="9"/>
      <name val="Arial"/>
      <family val="2"/>
    </font>
    <font>
      <sz val="9"/>
      <name val="Arial"/>
      <family val="2"/>
    </font>
    <font>
      <sz val="12"/>
      <name val="Arial"/>
      <family val="2"/>
    </font>
    <font>
      <sz val="9"/>
      <color rgb="FFFF0000"/>
      <name val="Arial"/>
      <family val="2"/>
    </font>
    <font>
      <strike/>
      <sz val="9"/>
      <color rgb="FFFF0000"/>
      <name val="Arial"/>
      <family val="2"/>
    </font>
    <font>
      <vertAlign val="superscript"/>
      <sz val="9"/>
      <name val="Arial"/>
      <family val="2"/>
    </font>
    <font>
      <u/>
      <sz val="10"/>
      <color rgb="FF0202BE"/>
      <name val="Arial"/>
      <family val="2"/>
    </font>
  </fonts>
  <fills count="8">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9"/>
        <bgColor indexed="64"/>
      </patternFill>
    </fill>
    <fill>
      <patternFill patternType="solid">
        <fgColor indexed="44"/>
        <bgColor indexed="64"/>
      </patternFill>
    </fill>
    <fill>
      <patternFill patternType="solid">
        <fgColor indexed="48"/>
        <bgColor indexed="64"/>
      </patternFill>
    </fill>
    <fill>
      <patternFill patternType="solid">
        <fgColor indexed="53"/>
        <bgColor indexed="64"/>
      </patternFill>
    </fill>
  </fills>
  <borders count="24">
    <border>
      <left/>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1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43" fontId="3" fillId="0" borderId="0" applyFont="0" applyFill="0" applyBorder="0" applyAlignment="0" applyProtection="0"/>
  </cellStyleXfs>
  <cellXfs count="232">
    <xf numFmtId="0" fontId="0" fillId="0" borderId="0" xfId="0"/>
    <xf numFmtId="0" fontId="0" fillId="0" borderId="0" xfId="0" applyAlignment="1">
      <alignment horizontal="center"/>
    </xf>
    <xf numFmtId="0" fontId="0" fillId="0" borderId="0" xfId="0" applyAlignment="1">
      <alignment horizontal="left"/>
    </xf>
    <xf numFmtId="0" fontId="5" fillId="0" borderId="0" xfId="0" applyFont="1" applyBorder="1" applyAlignment="1">
      <alignment horizontal="centerContinuous"/>
    </xf>
    <xf numFmtId="0" fontId="0" fillId="2" borderId="0" xfId="0" applyFill="1"/>
    <xf numFmtId="0" fontId="6" fillId="0" borderId="0" xfId="0" applyFont="1" applyAlignment="1">
      <alignment horizontal="center"/>
    </xf>
    <xf numFmtId="0" fontId="0" fillId="0" borderId="0" xfId="0" applyProtection="1">
      <protection hidden="1"/>
    </xf>
    <xf numFmtId="0" fontId="0" fillId="2" borderId="0" xfId="0" applyFill="1" applyProtection="1">
      <protection hidden="1"/>
    </xf>
    <xf numFmtId="6" fontId="0" fillId="2" borderId="0" xfId="0" applyNumberFormat="1" applyFill="1" applyProtection="1">
      <protection hidden="1"/>
    </xf>
    <xf numFmtId="0" fontId="0" fillId="0" borderId="0" xfId="0" applyAlignment="1" applyProtection="1">
      <alignment horizontal="right"/>
      <protection hidden="1"/>
    </xf>
    <xf numFmtId="0" fontId="4" fillId="0" borderId="0" xfId="0" applyFont="1" applyAlignment="1" applyProtection="1">
      <alignment horizontal="right"/>
      <protection hidden="1"/>
    </xf>
    <xf numFmtId="0" fontId="8" fillId="0" borderId="0" xfId="0" applyFont="1" applyAlignment="1" applyProtection="1">
      <alignment horizontal="right" wrapText="1"/>
      <protection hidden="1"/>
    </xf>
    <xf numFmtId="6" fontId="0" fillId="0" borderId="0" xfId="0" applyNumberFormat="1" applyProtection="1">
      <protection hidden="1"/>
    </xf>
    <xf numFmtId="0" fontId="4" fillId="0" borderId="0" xfId="0" applyFont="1" applyAlignment="1" applyProtection="1">
      <alignment horizontal="right" wrapText="1"/>
      <protection hidden="1"/>
    </xf>
    <xf numFmtId="8" fontId="0" fillId="0" borderId="0" xfId="0" applyNumberFormat="1" applyProtection="1">
      <protection hidden="1"/>
    </xf>
    <xf numFmtId="0" fontId="0" fillId="2" borderId="0" xfId="0" applyFill="1" applyAlignment="1" applyProtection="1">
      <alignment wrapText="1"/>
      <protection hidden="1"/>
    </xf>
    <xf numFmtId="6" fontId="0" fillId="0" borderId="0" xfId="0" applyNumberFormat="1" applyFill="1" applyProtection="1">
      <protection hidden="1"/>
    </xf>
    <xf numFmtId="0" fontId="0" fillId="0" borderId="0" xfId="0" applyAlignment="1" applyProtection="1">
      <alignment wrapText="1"/>
      <protection hidden="1"/>
    </xf>
    <xf numFmtId="0" fontId="6" fillId="2" borderId="0" xfId="0" applyFont="1" applyFill="1" applyAlignment="1" applyProtection="1">
      <alignment wrapText="1"/>
      <protection hidden="1"/>
    </xf>
    <xf numFmtId="0" fontId="7"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168" fontId="7" fillId="2" borderId="0" xfId="1" applyNumberFormat="1" applyFont="1" applyFill="1" applyProtection="1">
      <protection hidden="1"/>
    </xf>
    <xf numFmtId="168" fontId="0" fillId="2" borderId="0" xfId="1" applyNumberFormat="1" applyFont="1" applyFill="1" applyProtection="1">
      <protection hidden="1"/>
    </xf>
    <xf numFmtId="0" fontId="6" fillId="0" borderId="0" xfId="0" applyFont="1" applyProtection="1">
      <protection hidden="1"/>
    </xf>
    <xf numFmtId="168" fontId="0" fillId="2" borderId="0" xfId="0" applyNumberFormat="1" applyFill="1" applyProtection="1">
      <protection hidden="1"/>
    </xf>
    <xf numFmtId="0" fontId="4" fillId="0" borderId="0" xfId="0" applyFont="1" applyFill="1" applyAlignment="1" applyProtection="1">
      <alignment horizontal="right"/>
      <protection hidden="1"/>
    </xf>
    <xf numFmtId="168" fontId="0" fillId="0" borderId="0" xfId="0" applyNumberFormat="1" applyFill="1" applyProtection="1">
      <protection hidden="1"/>
    </xf>
    <xf numFmtId="168" fontId="0" fillId="0" borderId="0" xfId="0" applyNumberFormat="1" applyProtection="1">
      <protection hidden="1"/>
    </xf>
    <xf numFmtId="4" fontId="0" fillId="0" borderId="0" xfId="0" applyNumberFormat="1" applyFill="1" applyProtection="1">
      <protection hidden="1"/>
    </xf>
    <xf numFmtId="4" fontId="0" fillId="0" borderId="0" xfId="0" applyNumberFormat="1" applyProtection="1">
      <protection hidden="1"/>
    </xf>
    <xf numFmtId="0" fontId="0" fillId="0" borderId="0" xfId="0" applyProtection="1">
      <protection locked="0" hidden="1"/>
    </xf>
    <xf numFmtId="0" fontId="5" fillId="0" borderId="0" xfId="0" applyFont="1" applyProtection="1">
      <protection locked="0" hidden="1"/>
    </xf>
    <xf numFmtId="0" fontId="7" fillId="0" borderId="0" xfId="0" applyFont="1" applyProtection="1">
      <protection locked="0" hidden="1"/>
    </xf>
    <xf numFmtId="0" fontId="6" fillId="0" borderId="0" xfId="0" applyFont="1" applyProtection="1">
      <protection locked="0" hidden="1"/>
    </xf>
    <xf numFmtId="0" fontId="0" fillId="0" borderId="0" xfId="0" applyAlignment="1" applyProtection="1">
      <alignment horizontal="right"/>
      <protection locked="0" hidden="1"/>
    </xf>
    <xf numFmtId="168" fontId="0" fillId="2" borderId="0" xfId="0" applyNumberFormat="1" applyFill="1" applyProtection="1">
      <protection locked="0" hidden="1"/>
    </xf>
    <xf numFmtId="0" fontId="6" fillId="2" borderId="0" xfId="0" applyFont="1" applyFill="1" applyAlignment="1" applyProtection="1">
      <alignment wrapText="1"/>
      <protection locked="0" hidden="1"/>
    </xf>
    <xf numFmtId="0" fontId="7" fillId="2" borderId="0" xfId="0" applyFont="1" applyFill="1" applyAlignment="1" applyProtection="1">
      <alignment horizontal="right"/>
      <protection locked="0" hidden="1"/>
    </xf>
    <xf numFmtId="0" fontId="6" fillId="2" borderId="0" xfId="0" applyFont="1" applyFill="1" applyAlignment="1" applyProtection="1">
      <alignment horizontal="right"/>
      <protection locked="0" hidden="1"/>
    </xf>
    <xf numFmtId="168" fontId="3" fillId="2" borderId="0" xfId="1" applyNumberFormat="1" applyFill="1" applyProtection="1">
      <protection locked="0" hidden="1"/>
    </xf>
    <xf numFmtId="4" fontId="0" fillId="0" borderId="0" xfId="0" applyNumberFormat="1" applyProtection="1">
      <protection locked="0" hidden="1"/>
    </xf>
    <xf numFmtId="0" fontId="5" fillId="0" borderId="0" xfId="0" applyFont="1" applyBorder="1" applyAlignment="1" applyProtection="1">
      <alignment horizontal="centerContinuous"/>
      <protection locked="0" hidden="1"/>
    </xf>
    <xf numFmtId="165" fontId="0" fillId="0" borderId="0" xfId="0" applyNumberFormat="1" applyProtection="1">
      <protection locked="0" hidden="1"/>
    </xf>
    <xf numFmtId="0" fontId="6" fillId="0" borderId="0" xfId="0" applyFont="1" applyAlignment="1" applyProtection="1">
      <alignment horizontal="center"/>
      <protection locked="0" hidden="1"/>
    </xf>
    <xf numFmtId="168" fontId="0" fillId="0" borderId="0" xfId="0" applyNumberFormat="1" applyAlignment="1" applyProtection="1">
      <alignment wrapText="1"/>
      <protection locked="0" hidden="1"/>
    </xf>
    <xf numFmtId="3" fontId="0" fillId="0" borderId="0" xfId="0" applyNumberFormat="1" applyProtection="1">
      <protection locked="0" hidden="1"/>
    </xf>
    <xf numFmtId="0" fontId="7" fillId="0" borderId="0" xfId="0" applyFont="1" applyAlignment="1" applyProtection="1">
      <alignment wrapText="1"/>
      <protection locked="0" hidden="1"/>
    </xf>
    <xf numFmtId="170" fontId="0" fillId="0" borderId="0" xfId="0" applyNumberFormat="1" applyProtection="1">
      <protection locked="0" hidden="1"/>
    </xf>
    <xf numFmtId="168" fontId="0" fillId="0" borderId="0" xfId="0" applyNumberFormat="1" applyProtection="1">
      <protection locked="0" hidden="1"/>
    </xf>
    <xf numFmtId="167" fontId="0" fillId="0" borderId="0" xfId="0" applyNumberFormat="1" applyAlignment="1" applyProtection="1">
      <alignment wrapText="1"/>
      <protection locked="0" hidden="1"/>
    </xf>
    <xf numFmtId="0" fontId="7" fillId="0" borderId="0" xfId="0" applyFont="1" applyAlignment="1" applyProtection="1">
      <alignment horizontal="left"/>
      <protection locked="0" hidden="1"/>
    </xf>
    <xf numFmtId="0" fontId="0" fillId="0" borderId="0" xfId="0" applyProtection="1"/>
    <xf numFmtId="0" fontId="1" fillId="0" borderId="2" xfId="0" applyFont="1" applyBorder="1" applyAlignment="1" applyProtection="1">
      <alignment horizontal="center" wrapText="1"/>
    </xf>
    <xf numFmtId="0" fontId="1" fillId="0" borderId="3" xfId="0" applyFont="1" applyBorder="1" applyAlignment="1" applyProtection="1">
      <alignment horizont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 fillId="0" borderId="5" xfId="0" applyFont="1" applyBorder="1" applyAlignment="1" applyProtection="1">
      <alignment horizontal="center" vertical="center" wrapText="1"/>
    </xf>
    <xf numFmtId="0" fontId="2" fillId="3" borderId="4" xfId="0" applyFont="1" applyFill="1" applyBorder="1" applyAlignment="1" applyProtection="1">
      <alignment wrapText="1"/>
    </xf>
    <xf numFmtId="0" fontId="0" fillId="3" borderId="5" xfId="0" applyFill="1" applyBorder="1" applyAlignment="1" applyProtection="1">
      <alignment wrapText="1"/>
    </xf>
    <xf numFmtId="0" fontId="0" fillId="0" borderId="4" xfId="0" applyBorder="1" applyAlignment="1" applyProtection="1">
      <alignment wrapText="1"/>
    </xf>
    <xf numFmtId="0" fontId="0" fillId="0" borderId="5" xfId="0" applyBorder="1" applyAlignment="1" applyProtection="1">
      <alignment wrapText="1"/>
    </xf>
    <xf numFmtId="0" fontId="0" fillId="0" borderId="6" xfId="0" applyBorder="1" applyAlignment="1" applyProtection="1">
      <alignment horizontal="right" wrapText="1"/>
    </xf>
    <xf numFmtId="0" fontId="0" fillId="0" borderId="6" xfId="0" applyBorder="1" applyAlignment="1" applyProtection="1">
      <alignment wrapText="1"/>
    </xf>
    <xf numFmtId="3" fontId="0" fillId="0" borderId="6" xfId="0" applyNumberFormat="1" applyBorder="1" applyAlignment="1" applyProtection="1">
      <alignment wrapText="1"/>
    </xf>
    <xf numFmtId="0" fontId="0" fillId="0" borderId="5" xfId="0" applyBorder="1" applyAlignment="1" applyProtection="1">
      <alignment horizontal="right" wrapText="1"/>
    </xf>
    <xf numFmtId="0" fontId="0" fillId="3" borderId="5" xfId="0" applyFill="1" applyBorder="1" applyAlignment="1" applyProtection="1">
      <alignment horizontal="right" wrapText="1"/>
    </xf>
    <xf numFmtId="3" fontId="0" fillId="0" borderId="6" xfId="0" applyNumberFormat="1" applyBorder="1" applyAlignment="1" applyProtection="1">
      <alignment horizontal="right" wrapText="1"/>
    </xf>
    <xf numFmtId="9" fontId="0" fillId="0" borderId="6" xfId="0" applyNumberFormat="1" applyBorder="1" applyAlignment="1" applyProtection="1">
      <alignment wrapText="1"/>
    </xf>
    <xf numFmtId="0" fontId="4" fillId="3" borderId="4" xfId="0" applyFont="1" applyFill="1" applyBorder="1" applyAlignment="1" applyProtection="1">
      <alignment wrapText="1"/>
    </xf>
    <xf numFmtId="0" fontId="3" fillId="0" borderId="4" xfId="0" applyFont="1" applyFill="1" applyBorder="1" applyAlignment="1" applyProtection="1">
      <alignment wrapText="1"/>
    </xf>
    <xf numFmtId="0" fontId="0" fillId="0" borderId="5" xfId="0" applyFill="1" applyBorder="1" applyAlignment="1" applyProtection="1">
      <alignment wrapText="1"/>
    </xf>
    <xf numFmtId="0" fontId="7" fillId="0" borderId="4" xfId="0" applyFont="1" applyFill="1" applyBorder="1" applyAlignment="1" applyProtection="1">
      <alignment wrapText="1"/>
    </xf>
    <xf numFmtId="0" fontId="0" fillId="0" borderId="4" xfId="0" applyBorder="1" applyProtection="1"/>
    <xf numFmtId="0" fontId="0" fillId="0" borderId="6" xfId="0" applyBorder="1" applyProtection="1"/>
    <xf numFmtId="11" fontId="0" fillId="0" borderId="6" xfId="0" applyNumberFormat="1" applyBorder="1" applyAlignment="1" applyProtection="1">
      <alignment horizontal="right" wrapText="1"/>
    </xf>
    <xf numFmtId="0" fontId="4" fillId="3" borderId="4" xfId="0" applyFont="1" applyFill="1" applyBorder="1" applyProtection="1"/>
    <xf numFmtId="0" fontId="0" fillId="3" borderId="6" xfId="0" applyFill="1" applyBorder="1" applyProtection="1"/>
    <xf numFmtId="0" fontId="7" fillId="0" borderId="4" xfId="0" applyFont="1" applyFill="1" applyBorder="1" applyAlignment="1" applyProtection="1">
      <alignment horizontal="left"/>
    </xf>
    <xf numFmtId="0" fontId="0" fillId="3" borderId="5" xfId="0" applyFill="1" applyBorder="1" applyProtection="1"/>
    <xf numFmtId="3" fontId="0" fillId="0" borderId="6" xfId="0" applyNumberFormat="1" applyFill="1" applyBorder="1" applyAlignment="1" applyProtection="1">
      <alignment horizontal="right" wrapText="1"/>
    </xf>
    <xf numFmtId="169" fontId="0" fillId="0" borderId="6" xfId="1" applyNumberFormat="1" applyFont="1" applyFill="1" applyBorder="1" applyAlignment="1" applyProtection="1">
      <alignment horizontal="right" wrapText="1"/>
    </xf>
    <xf numFmtId="164" fontId="0" fillId="0" borderId="6" xfId="0" applyNumberFormat="1" applyFill="1" applyBorder="1" applyAlignment="1" applyProtection="1">
      <alignment horizontal="right" wrapText="1"/>
    </xf>
    <xf numFmtId="43" fontId="0" fillId="0" borderId="6" xfId="1" applyFont="1" applyBorder="1" applyAlignment="1" applyProtection="1">
      <alignment horizontal="right" wrapText="1"/>
    </xf>
    <xf numFmtId="164" fontId="0" fillId="0" borderId="6" xfId="0" applyNumberFormat="1" applyBorder="1" applyAlignment="1" applyProtection="1">
      <alignment horizontal="right" wrapText="1"/>
    </xf>
    <xf numFmtId="43" fontId="0" fillId="0" borderId="6" xfId="1" applyFont="1" applyBorder="1" applyAlignment="1" applyProtection="1">
      <alignment wrapText="1"/>
    </xf>
    <xf numFmtId="169" fontId="0" fillId="0" borderId="6" xfId="1" applyNumberFormat="1" applyFont="1" applyBorder="1" applyAlignment="1" applyProtection="1">
      <alignment wrapText="1"/>
    </xf>
    <xf numFmtId="164" fontId="0" fillId="0" borderId="6" xfId="0" applyNumberFormat="1" applyBorder="1" applyProtection="1"/>
    <xf numFmtId="2" fontId="0" fillId="0" borderId="6" xfId="0" applyNumberFormat="1" applyBorder="1" applyProtection="1"/>
    <xf numFmtId="164" fontId="0" fillId="0" borderId="5" xfId="0" applyNumberFormat="1" applyBorder="1" applyAlignment="1" applyProtection="1">
      <alignment wrapText="1"/>
    </xf>
    <xf numFmtId="2" fontId="0" fillId="0" borderId="6" xfId="0" applyNumberFormat="1" applyFill="1" applyBorder="1" applyAlignment="1" applyProtection="1">
      <alignment horizontal="right" wrapText="1"/>
    </xf>
    <xf numFmtId="169" fontId="0" fillId="0" borderId="6" xfId="1" applyNumberFormat="1" applyFont="1" applyBorder="1" applyAlignment="1" applyProtection="1">
      <alignment horizontal="right" wrapText="1"/>
    </xf>
    <xf numFmtId="169" fontId="0" fillId="0" borderId="6" xfId="1" applyNumberFormat="1" applyFont="1" applyFill="1" applyBorder="1" applyAlignment="1" applyProtection="1">
      <alignment wrapText="1"/>
    </xf>
    <xf numFmtId="43" fontId="0" fillId="0" borderId="6" xfId="1" applyNumberFormat="1" applyFont="1" applyFill="1" applyBorder="1" applyAlignment="1" applyProtection="1">
      <alignment wrapText="1"/>
    </xf>
    <xf numFmtId="2" fontId="0" fillId="0" borderId="6" xfId="1" applyNumberFormat="1" applyFont="1" applyFill="1" applyBorder="1" applyAlignment="1" applyProtection="1">
      <alignment wrapText="1"/>
    </xf>
    <xf numFmtId="164" fontId="0" fillId="0" borderId="6" xfId="1" applyNumberFormat="1" applyFont="1" applyFill="1" applyBorder="1" applyAlignment="1" applyProtection="1">
      <alignment horizontal="right" wrapText="1"/>
    </xf>
    <xf numFmtId="164" fontId="0" fillId="0" borderId="6" xfId="1" applyNumberFormat="1" applyFont="1" applyBorder="1" applyProtection="1"/>
    <xf numFmtId="0" fontId="7" fillId="2" borderId="0" xfId="0" applyFont="1" applyFill="1" applyAlignment="1" applyProtection="1">
      <alignment horizontal="left"/>
      <protection locked="0" hidden="1"/>
    </xf>
    <xf numFmtId="167" fontId="0" fillId="4" borderId="0" xfId="0" applyNumberFormat="1" applyFill="1" applyProtection="1">
      <protection locked="0" hidden="1"/>
    </xf>
    <xf numFmtId="167" fontId="0" fillId="4" borderId="0" xfId="0" applyNumberFormat="1" applyFill="1" applyAlignment="1" applyProtection="1">
      <alignment wrapText="1"/>
      <protection locked="0" hidden="1"/>
    </xf>
    <xf numFmtId="0" fontId="1" fillId="5" borderId="7" xfId="0" applyFont="1" applyFill="1" applyBorder="1" applyAlignment="1" applyProtection="1">
      <alignment horizontal="center" wrapText="1"/>
      <protection hidden="1"/>
    </xf>
    <xf numFmtId="0" fontId="1" fillId="5" borderId="8" xfId="0" applyFont="1" applyFill="1" applyBorder="1" applyAlignment="1" applyProtection="1">
      <alignment horizontal="center" wrapText="1"/>
      <protection hidden="1"/>
    </xf>
    <xf numFmtId="0" fontId="0" fillId="3" borderId="8" xfId="0" applyFill="1" applyBorder="1" applyAlignment="1" applyProtection="1">
      <alignment wrapText="1"/>
      <protection hidden="1"/>
    </xf>
    <xf numFmtId="0" fontId="0" fillId="5" borderId="8" xfId="0" applyFill="1" applyBorder="1" applyAlignment="1" applyProtection="1">
      <alignment horizontal="right" wrapText="1"/>
      <protection hidden="1"/>
    </xf>
    <xf numFmtId="3" fontId="0" fillId="5" borderId="8" xfId="0" applyNumberFormat="1" applyFill="1" applyBorder="1" applyAlignment="1" applyProtection="1">
      <alignment wrapText="1"/>
      <protection hidden="1"/>
    </xf>
    <xf numFmtId="0" fontId="0" fillId="5" borderId="8" xfId="0" applyFill="1" applyBorder="1" applyAlignment="1" applyProtection="1">
      <alignment wrapText="1"/>
      <protection hidden="1"/>
    </xf>
    <xf numFmtId="3" fontId="0" fillId="5" borderId="8" xfId="0" applyNumberFormat="1" applyFill="1" applyBorder="1" applyAlignment="1" applyProtection="1">
      <alignment horizontal="right" wrapText="1"/>
      <protection hidden="1"/>
    </xf>
    <xf numFmtId="0" fontId="0" fillId="3" borderId="8" xfId="0" applyFill="1" applyBorder="1" applyAlignment="1" applyProtection="1">
      <alignment horizontal="right" wrapText="1"/>
      <protection hidden="1"/>
    </xf>
    <xf numFmtId="43" fontId="0" fillId="5" borderId="8" xfId="1" applyFont="1" applyFill="1" applyBorder="1" applyAlignment="1" applyProtection="1">
      <alignment horizontal="right" wrapText="1"/>
      <protection hidden="1"/>
    </xf>
    <xf numFmtId="9" fontId="0" fillId="5" borderId="8" xfId="0" applyNumberFormat="1" applyFill="1" applyBorder="1" applyAlignment="1" applyProtection="1">
      <alignment wrapText="1"/>
      <protection hidden="1"/>
    </xf>
    <xf numFmtId="43" fontId="0" fillId="5" borderId="8" xfId="1" applyFont="1" applyFill="1" applyBorder="1" applyAlignment="1" applyProtection="1">
      <alignment wrapText="1"/>
      <protection hidden="1"/>
    </xf>
    <xf numFmtId="164" fontId="0" fillId="5" borderId="8" xfId="0" applyNumberFormat="1" applyFill="1" applyBorder="1" applyAlignment="1" applyProtection="1">
      <alignment horizontal="right" wrapText="1"/>
      <protection hidden="1"/>
    </xf>
    <xf numFmtId="2" fontId="0" fillId="5" borderId="8" xfId="0" applyNumberFormat="1" applyFill="1" applyBorder="1" applyAlignment="1" applyProtection="1">
      <alignment horizontal="right" wrapText="1"/>
      <protection hidden="1"/>
    </xf>
    <xf numFmtId="169" fontId="0" fillId="5" borderId="8" xfId="1" applyNumberFormat="1" applyFont="1" applyFill="1" applyBorder="1" applyAlignment="1" applyProtection="1">
      <alignment horizontal="right" wrapText="1"/>
      <protection hidden="1"/>
    </xf>
    <xf numFmtId="11" fontId="0" fillId="5" borderId="8" xfId="0" applyNumberFormat="1" applyFill="1" applyBorder="1" applyAlignment="1" applyProtection="1">
      <alignment horizontal="right" wrapText="1"/>
      <protection hidden="1"/>
    </xf>
    <xf numFmtId="0" fontId="0" fillId="3" borderId="8" xfId="0" applyFill="1" applyBorder="1" applyProtection="1">
      <protection hidden="1"/>
    </xf>
    <xf numFmtId="164" fontId="0" fillId="5" borderId="8" xfId="0" applyNumberFormat="1" applyFill="1" applyBorder="1" applyAlignment="1" applyProtection="1">
      <alignment wrapText="1"/>
      <protection hidden="1"/>
    </xf>
    <xf numFmtId="169" fontId="0" fillId="5" borderId="8" xfId="1" applyNumberFormat="1" applyFont="1" applyFill="1" applyBorder="1" applyAlignment="1" applyProtection="1">
      <alignment wrapText="1"/>
      <protection hidden="1"/>
    </xf>
    <xf numFmtId="2" fontId="0" fillId="5" borderId="8" xfId="1" applyNumberFormat="1" applyFont="1" applyFill="1" applyBorder="1" applyAlignment="1" applyProtection="1">
      <alignment wrapText="1"/>
      <protection hidden="1"/>
    </xf>
    <xf numFmtId="43" fontId="0" fillId="5" borderId="8" xfId="1" applyNumberFormat="1" applyFont="1" applyFill="1" applyBorder="1" applyAlignment="1" applyProtection="1">
      <alignment wrapText="1"/>
      <protection hidden="1"/>
    </xf>
    <xf numFmtId="164" fontId="0" fillId="5" borderId="8" xfId="1" applyNumberFormat="1" applyFont="1" applyFill="1" applyBorder="1" applyProtection="1">
      <protection hidden="1"/>
    </xf>
    <xf numFmtId="164" fontId="0" fillId="5" borderId="8" xfId="1" applyNumberFormat="1" applyFont="1" applyFill="1" applyBorder="1" applyAlignment="1" applyProtection="1">
      <alignment horizontal="right" wrapText="1"/>
      <protection hidden="1"/>
    </xf>
    <xf numFmtId="0" fontId="0" fillId="3" borderId="0" xfId="0" applyFill="1" applyBorder="1" applyProtection="1">
      <protection hidden="1"/>
    </xf>
    <xf numFmtId="164" fontId="0" fillId="5" borderId="8" xfId="0" applyNumberFormat="1" applyFill="1" applyBorder="1" applyProtection="1">
      <protection hidden="1"/>
    </xf>
    <xf numFmtId="2" fontId="0" fillId="5" borderId="8" xfId="0" applyNumberFormat="1" applyFill="1" applyBorder="1" applyProtection="1">
      <protection hidden="1"/>
    </xf>
    <xf numFmtId="0" fontId="0" fillId="0" borderId="6" xfId="0" applyFill="1" applyBorder="1" applyAlignment="1" applyProtection="1">
      <alignment wrapText="1"/>
    </xf>
    <xf numFmtId="0" fontId="0" fillId="0" borderId="6" xfId="0" applyFill="1" applyBorder="1" applyAlignment="1" applyProtection="1">
      <alignment horizontal="right" wrapText="1"/>
    </xf>
    <xf numFmtId="0" fontId="0" fillId="5" borderId="8" xfId="0" applyFill="1" applyBorder="1" applyAlignment="1" applyProtection="1">
      <alignment wrapText="1"/>
    </xf>
    <xf numFmtId="0" fontId="0" fillId="5" borderId="8" xfId="0" applyFill="1" applyBorder="1" applyAlignment="1" applyProtection="1">
      <alignment horizontal="right" wrapText="1"/>
    </xf>
    <xf numFmtId="0" fontId="0" fillId="0" borderId="9" xfId="0" applyFill="1" applyBorder="1" applyAlignment="1" applyProtection="1">
      <alignment horizontal="center"/>
      <protection hidden="1"/>
    </xf>
    <xf numFmtId="0" fontId="0" fillId="0" borderId="10" xfId="0" applyFill="1" applyBorder="1" applyAlignment="1" applyProtection="1">
      <alignment horizontal="center"/>
      <protection hidden="1"/>
    </xf>
    <xf numFmtId="0" fontId="6" fillId="0" borderId="11" xfId="0" applyFont="1" applyFill="1" applyBorder="1" applyAlignment="1" applyProtection="1">
      <alignment horizontal="center" wrapText="1"/>
      <protection hidden="1"/>
    </xf>
    <xf numFmtId="0" fontId="3" fillId="0" borderId="4" xfId="0" applyFont="1" applyBorder="1" applyAlignment="1" applyProtection="1">
      <alignment wrapText="1"/>
    </xf>
    <xf numFmtId="0" fontId="9" fillId="0" borderId="5" xfId="0" applyFont="1" applyBorder="1" applyAlignment="1" applyProtection="1">
      <alignment wrapText="1"/>
    </xf>
    <xf numFmtId="0" fontId="3" fillId="0" borderId="4" xfId="0" applyFont="1" applyBorder="1" applyAlignment="1" applyProtection="1">
      <alignment horizontal="left" vertical="center"/>
    </xf>
    <xf numFmtId="0" fontId="3" fillId="0" borderId="4" xfId="0" applyFont="1" applyBorder="1" applyProtection="1"/>
    <xf numFmtId="0" fontId="3" fillId="0" borderId="0" xfId="0" applyFont="1" applyProtection="1">
      <protection locked="0" hidden="1"/>
    </xf>
    <xf numFmtId="0" fontId="3" fillId="0" borderId="0" xfId="0" applyFont="1" applyAlignment="1" applyProtection="1">
      <alignment wrapText="1"/>
      <protection locked="0" hidden="1"/>
    </xf>
    <xf numFmtId="0" fontId="12" fillId="0" borderId="0" xfId="0" applyFont="1"/>
    <xf numFmtId="0" fontId="10" fillId="0" borderId="5" xfId="0" applyFont="1" applyBorder="1" applyAlignment="1" applyProtection="1">
      <alignment wrapText="1"/>
    </xf>
    <xf numFmtId="2" fontId="0" fillId="0" borderId="6" xfId="0" applyNumberFormat="1" applyBorder="1" applyAlignment="1" applyProtection="1">
      <alignment horizontal="right" wrapText="1"/>
    </xf>
    <xf numFmtId="165" fontId="0" fillId="0" borderId="6" xfId="0" applyNumberFormat="1" applyBorder="1" applyAlignment="1" applyProtection="1">
      <alignment horizontal="right" wrapText="1"/>
    </xf>
    <xf numFmtId="165" fontId="0" fillId="5" borderId="8" xfId="0" applyNumberFormat="1" applyFill="1" applyBorder="1" applyAlignment="1" applyProtection="1">
      <alignment horizontal="right" wrapText="1"/>
      <protection hidden="1"/>
    </xf>
    <xf numFmtId="3" fontId="0" fillId="0" borderId="6" xfId="1" applyNumberFormat="1" applyFont="1" applyFill="1" applyBorder="1" applyAlignment="1" applyProtection="1">
      <alignment horizontal="right" wrapText="1"/>
    </xf>
    <xf numFmtId="3" fontId="0" fillId="5" borderId="8" xfId="1" applyNumberFormat="1" applyFont="1" applyFill="1" applyBorder="1" applyAlignment="1" applyProtection="1">
      <alignment horizontal="right" wrapText="1"/>
      <protection hidden="1"/>
    </xf>
    <xf numFmtId="0" fontId="3" fillId="0" borderId="0" xfId="0" applyFont="1"/>
    <xf numFmtId="0" fontId="13" fillId="0" borderId="0" xfId="0" applyFont="1"/>
    <xf numFmtId="0" fontId="14" fillId="0" borderId="0" xfId="0" applyFont="1"/>
    <xf numFmtId="0" fontId="15" fillId="0" borderId="0" xfId="0" applyFont="1"/>
    <xf numFmtId="0" fontId="13" fillId="0" borderId="4" xfId="0" applyFont="1" applyBorder="1" applyAlignment="1" applyProtection="1">
      <alignment wrapText="1"/>
    </xf>
    <xf numFmtId="0" fontId="3" fillId="0" borderId="5" xfId="0" applyFont="1" applyBorder="1" applyAlignment="1" applyProtection="1">
      <alignment wrapText="1"/>
    </xf>
    <xf numFmtId="3" fontId="3" fillId="5" borderId="8" xfId="0" applyNumberFormat="1" applyFont="1" applyFill="1" applyBorder="1" applyAlignment="1" applyProtection="1">
      <alignment horizontal="right" wrapText="1"/>
      <protection hidden="1"/>
    </xf>
    <xf numFmtId="3" fontId="3" fillId="0" borderId="6" xfId="0" applyNumberFormat="1" applyFont="1" applyBorder="1" applyAlignment="1" applyProtection="1">
      <alignment horizontal="right" wrapText="1"/>
    </xf>
    <xf numFmtId="0" fontId="13" fillId="0" borderId="5" xfId="0" applyFont="1" applyBorder="1" applyAlignment="1" applyProtection="1">
      <alignment wrapText="1"/>
    </xf>
    <xf numFmtId="0" fontId="13" fillId="0" borderId="5" xfId="0" applyFont="1" applyFill="1" applyBorder="1" applyAlignment="1" applyProtection="1">
      <alignment wrapText="1"/>
    </xf>
    <xf numFmtId="164" fontId="13" fillId="0" borderId="6" xfId="0" applyNumberFormat="1" applyFont="1" applyBorder="1" applyAlignment="1" applyProtection="1">
      <alignment wrapText="1"/>
    </xf>
    <xf numFmtId="164" fontId="13" fillId="5" borderId="8" xfId="0" applyNumberFormat="1" applyFont="1" applyFill="1" applyBorder="1" applyAlignment="1" applyProtection="1">
      <alignment wrapText="1"/>
      <protection hidden="1"/>
    </xf>
    <xf numFmtId="0" fontId="13" fillId="0" borderId="9" xfId="0" applyFont="1" applyFill="1" applyBorder="1" applyAlignment="1" applyProtection="1">
      <alignment horizontal="center"/>
      <protection hidden="1"/>
    </xf>
    <xf numFmtId="169" fontId="13" fillId="0" borderId="6" xfId="1" applyNumberFormat="1" applyFont="1" applyBorder="1" applyAlignment="1" applyProtection="1">
      <alignment wrapText="1"/>
    </xf>
    <xf numFmtId="3" fontId="13" fillId="0" borderId="5" xfId="0" applyNumberFormat="1" applyFont="1" applyBorder="1" applyAlignment="1" applyProtection="1">
      <alignment wrapText="1"/>
    </xf>
    <xf numFmtId="169" fontId="13" fillId="5" borderId="8" xfId="1" applyNumberFormat="1" applyFont="1" applyFill="1" applyBorder="1" applyAlignment="1" applyProtection="1">
      <alignment wrapText="1"/>
      <protection hidden="1"/>
    </xf>
    <xf numFmtId="0" fontId="13" fillId="0" borderId="4" xfId="0" applyFont="1" applyFill="1" applyBorder="1" applyAlignment="1" applyProtection="1">
      <alignment horizontal="left"/>
    </xf>
    <xf numFmtId="0" fontId="13" fillId="0" borderId="4" xfId="0" applyFont="1" applyBorder="1" applyProtection="1"/>
    <xf numFmtId="0" fontId="13" fillId="0" borderId="6" xfId="0" applyFont="1" applyBorder="1" applyProtection="1"/>
    <xf numFmtId="0" fontId="3" fillId="0" borderId="6" xfId="0" applyFont="1" applyBorder="1" applyAlignment="1" applyProtection="1">
      <alignment horizontal="center" vertical="center"/>
    </xf>
    <xf numFmtId="0" fontId="3" fillId="5" borderId="0" xfId="0" applyFont="1" applyFill="1" applyBorder="1" applyAlignment="1" applyProtection="1">
      <alignment horizontal="center" vertical="center"/>
      <protection hidden="1"/>
    </xf>
    <xf numFmtId="0" fontId="3" fillId="0" borderId="6" xfId="0" applyFont="1" applyBorder="1" applyProtection="1"/>
    <xf numFmtId="2" fontId="3" fillId="0" borderId="6" xfId="0" applyNumberFormat="1" applyFont="1" applyBorder="1" applyProtection="1"/>
    <xf numFmtId="2" fontId="3" fillId="5" borderId="8" xfId="0" applyNumberFormat="1" applyFont="1" applyFill="1" applyBorder="1" applyProtection="1">
      <protection hidden="1"/>
    </xf>
    <xf numFmtId="0" fontId="7" fillId="3" borderId="6" xfId="0" applyFont="1" applyFill="1" applyBorder="1" applyProtection="1"/>
    <xf numFmtId="0" fontId="7" fillId="3" borderId="8" xfId="0" applyFont="1" applyFill="1" applyBorder="1" applyProtection="1">
      <protection hidden="1"/>
    </xf>
    <xf numFmtId="0" fontId="7" fillId="0" borderId="4" xfId="0" applyFont="1" applyBorder="1" applyProtection="1"/>
    <xf numFmtId="0" fontId="7" fillId="0" borderId="6" xfId="0" applyFont="1" applyBorder="1" applyProtection="1"/>
    <xf numFmtId="164" fontId="7" fillId="0" borderId="6" xfId="0" applyNumberFormat="1" applyFont="1" applyBorder="1" applyProtection="1"/>
    <xf numFmtId="164" fontId="7" fillId="5" borderId="8" xfId="0" applyNumberFormat="1" applyFont="1" applyFill="1" applyBorder="1" applyProtection="1">
      <protection hidden="1"/>
    </xf>
    <xf numFmtId="0" fontId="7" fillId="0" borderId="12" xfId="0" applyFont="1" applyBorder="1" applyProtection="1"/>
    <xf numFmtId="0" fontId="7" fillId="0" borderId="13" xfId="0" applyFont="1" applyBorder="1" applyProtection="1"/>
    <xf numFmtId="164" fontId="7" fillId="0" borderId="13" xfId="0" applyNumberFormat="1" applyFont="1" applyBorder="1" applyProtection="1"/>
    <xf numFmtId="164" fontId="7" fillId="5" borderId="14" xfId="0" applyNumberFormat="1" applyFont="1" applyFill="1" applyBorder="1" applyProtection="1">
      <protection hidden="1"/>
    </xf>
    <xf numFmtId="0" fontId="7" fillId="2" borderId="0" xfId="0" applyFont="1" applyFill="1" applyProtection="1">
      <protection hidden="1"/>
    </xf>
    <xf numFmtId="0" fontId="4" fillId="0" borderId="0" xfId="0" applyFont="1" applyAlignment="1" applyProtection="1">
      <alignment horizontal="left"/>
      <protection hidden="1"/>
    </xf>
    <xf numFmtId="0" fontId="3" fillId="0" borderId="0" xfId="0" applyFont="1" applyAlignment="1" applyProtection="1">
      <alignment horizontal="left"/>
      <protection locked="0" hidden="1"/>
    </xf>
    <xf numFmtId="0" fontId="13" fillId="0" borderId="0" xfId="0" applyFont="1" applyProtection="1">
      <protection locked="0" hidden="1"/>
    </xf>
    <xf numFmtId="166" fontId="13" fillId="0" borderId="0" xfId="0" applyNumberFormat="1" applyFont="1" applyProtection="1">
      <protection locked="0" hidden="1"/>
    </xf>
    <xf numFmtId="166" fontId="13" fillId="0" borderId="0" xfId="0" applyNumberFormat="1" applyFont="1" applyFill="1" applyProtection="1">
      <protection locked="0" hidden="1"/>
    </xf>
    <xf numFmtId="166" fontId="13" fillId="2" borderId="0" xfId="0" applyNumberFormat="1" applyFont="1" applyFill="1" applyProtection="1">
      <protection locked="0" hidden="1"/>
    </xf>
    <xf numFmtId="0" fontId="16" fillId="0" borderId="15" xfId="0" applyFont="1" applyBorder="1" applyAlignment="1">
      <alignment horizontal="center"/>
    </xf>
    <xf numFmtId="0" fontId="16" fillId="0" borderId="0" xfId="0" applyFont="1" applyAlignment="1">
      <alignment horizontal="center"/>
    </xf>
    <xf numFmtId="0" fontId="4" fillId="0" borderId="0" xfId="0" applyFont="1"/>
    <xf numFmtId="0" fontId="4" fillId="0" borderId="0" xfId="0" applyFont="1" applyAlignment="1">
      <alignment horizontal="left"/>
    </xf>
    <xf numFmtId="0" fontId="5" fillId="0" borderId="0" xfId="0" applyFont="1" applyBorder="1" applyAlignment="1">
      <alignment horizontal="left"/>
    </xf>
    <xf numFmtId="0" fontId="4" fillId="2" borderId="0" xfId="0" applyFont="1" applyFill="1"/>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19" xfId="0" applyFont="1" applyBorder="1" applyAlignment="1">
      <alignment vertical="top" wrapText="1"/>
    </xf>
    <xf numFmtId="0" fontId="7" fillId="0" borderId="0" xfId="0" applyFont="1"/>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9" fillId="0" borderId="19" xfId="0" applyFont="1" applyBorder="1" applyAlignment="1">
      <alignment horizontal="left" vertical="top" wrapText="1"/>
    </xf>
    <xf numFmtId="0" fontId="18" fillId="0" borderId="20" xfId="0" applyFont="1" applyBorder="1" applyAlignment="1">
      <alignment horizontal="center" vertical="top" wrapText="1"/>
    </xf>
    <xf numFmtId="0" fontId="19" fillId="0" borderId="0" xfId="0" applyFont="1" applyBorder="1" applyAlignment="1">
      <alignment horizontal="center" vertical="top" wrapText="1"/>
    </xf>
    <xf numFmtId="0" fontId="19" fillId="0" borderId="0" xfId="0" applyFont="1" applyBorder="1" applyAlignment="1">
      <alignment vertical="top" wrapText="1"/>
    </xf>
    <xf numFmtId="0" fontId="16" fillId="0" borderId="0" xfId="0" applyFont="1" applyProtection="1">
      <protection locked="0" hidden="1"/>
    </xf>
    <xf numFmtId="0" fontId="4" fillId="0" borderId="0" xfId="0" applyFont="1" applyProtection="1">
      <protection locked="0" hidden="1"/>
    </xf>
    <xf numFmtId="0" fontId="4" fillId="0" borderId="0" xfId="0" applyFont="1" applyFill="1" applyProtection="1">
      <protection locked="0" hidden="1"/>
    </xf>
    <xf numFmtId="0" fontId="4" fillId="2" borderId="0" xfId="0" applyFont="1" applyFill="1" applyProtection="1">
      <protection locked="0" hidden="1"/>
    </xf>
    <xf numFmtId="0" fontId="6" fillId="6" borderId="0" xfId="0" applyFont="1" applyFill="1" applyAlignment="1" applyProtection="1">
      <alignment horizontal="right"/>
      <protection locked="0" hidden="1"/>
    </xf>
    <xf numFmtId="0" fontId="19" fillId="0" borderId="0" xfId="0" applyFont="1" applyBorder="1" applyAlignment="1">
      <alignment horizontal="left" vertical="top"/>
    </xf>
    <xf numFmtId="0" fontId="2" fillId="0" borderId="0" xfId="0" applyFont="1" applyAlignment="1" applyProtection="1">
      <alignment horizontal="right"/>
      <protection hidden="1"/>
    </xf>
    <xf numFmtId="0" fontId="1" fillId="0" borderId="1" xfId="0" applyFont="1" applyBorder="1" applyAlignment="1">
      <alignment horizontal="left"/>
    </xf>
    <xf numFmtId="0" fontId="1" fillId="0" borderId="0" xfId="0" applyFont="1"/>
    <xf numFmtId="0" fontId="19" fillId="0" borderId="18" xfId="0" applyFont="1" applyBorder="1" applyAlignment="1">
      <alignment horizontal="center" vertical="top" wrapText="1"/>
    </xf>
    <xf numFmtId="0" fontId="3" fillId="0" borderId="0" xfId="0" applyFont="1" applyBorder="1" applyAlignment="1">
      <alignment horizontal="left" vertical="top"/>
    </xf>
    <xf numFmtId="0" fontId="3" fillId="2" borderId="0" xfId="0" applyFont="1" applyFill="1" applyAlignment="1" applyProtection="1">
      <alignment wrapText="1"/>
      <protection hidden="1"/>
    </xf>
    <xf numFmtId="0" fontId="16" fillId="0" borderId="0" xfId="0" applyFont="1" applyAlignment="1">
      <alignment horizontal="center" vertical="center"/>
    </xf>
    <xf numFmtId="0" fontId="5" fillId="0" borderId="0" xfId="0" applyFont="1" applyAlignment="1">
      <alignment horizontal="center" vertical="center"/>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18" xfId="0" applyFont="1" applyBorder="1" applyAlignment="1">
      <alignment horizontal="center"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9" fillId="0" borderId="18" xfId="0" applyFont="1" applyBorder="1" applyAlignment="1">
      <alignment vertical="top" wrapText="1"/>
    </xf>
    <xf numFmtId="0" fontId="6" fillId="7" borderId="23"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0" fontId="6" fillId="7" borderId="5" xfId="0" applyFont="1" applyFill="1" applyBorder="1" applyAlignment="1" applyProtection="1">
      <alignment horizontal="center" vertical="center"/>
    </xf>
    <xf numFmtId="0" fontId="1" fillId="7" borderId="0" xfId="0" applyFont="1" applyFill="1" applyBorder="1" applyAlignment="1" applyProtection="1">
      <alignment horizontal="center" vertical="center"/>
    </xf>
    <xf numFmtId="0" fontId="1" fillId="7" borderId="5"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6" fillId="0" borderId="0" xfId="0" applyFont="1" applyAlignment="1" applyProtection="1">
      <alignment horizontal="left"/>
      <protection hidden="1"/>
    </xf>
    <xf numFmtId="0" fontId="6" fillId="0" borderId="0" xfId="0" applyFont="1" applyAlignment="1" applyProtection="1">
      <alignment horizontal="center"/>
      <protection locked="0" hidden="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202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371475</xdr:colOff>
      <xdr:row>8</xdr:row>
      <xdr:rowOff>19050</xdr:rowOff>
    </xdr:from>
    <xdr:to>
      <xdr:col>13</xdr:col>
      <xdr:colOff>466725</xdr:colOff>
      <xdr:row>11</xdr:row>
      <xdr:rowOff>152400</xdr:rowOff>
    </xdr:to>
    <xdr:sp macro="" textlink="">
      <xdr:nvSpPr>
        <xdr:cNvPr id="1090" name="Text Box 1"/>
        <xdr:cNvSpPr txBox="1">
          <a:spLocks noChangeArrowheads="1"/>
        </xdr:cNvSpPr>
      </xdr:nvSpPr>
      <xdr:spPr bwMode="auto">
        <a:xfrm>
          <a:off x="371475" y="1314450"/>
          <a:ext cx="8020050" cy="6191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Arial"/>
              <a:ea typeface="+mn-ea"/>
              <a:cs typeface="Arial"/>
            </a:rPr>
            <a:t>This model was originally developed by the North America SEMI Standards Task Force titled Cost of Ownership for Gas Delivery Systems.  It was designed to be a Supplementary Materials document to SEMI E140 as a Various Materials.  It has been updated to be consistent with the latest version of E140.  The terms used in this model are the same as those used in E140.  For convenience, their definitions are given in this worksheet.  </a:t>
          </a:r>
        </a:p>
      </xdr:txBody>
    </xdr:sp>
    <xdr:clientData/>
  </xdr:twoCellAnchor>
  <xdr:twoCellAnchor>
    <xdr:from>
      <xdr:col>0</xdr:col>
      <xdr:colOff>381000</xdr:colOff>
      <xdr:row>13</xdr:row>
      <xdr:rowOff>85725</xdr:rowOff>
    </xdr:from>
    <xdr:to>
      <xdr:col>13</xdr:col>
      <xdr:colOff>466725</xdr:colOff>
      <xdr:row>15</xdr:row>
      <xdr:rowOff>0</xdr:rowOff>
    </xdr:to>
    <xdr:sp macro="" textlink="">
      <xdr:nvSpPr>
        <xdr:cNvPr id="1091" name="Text Box 2"/>
        <xdr:cNvSpPr txBox="1">
          <a:spLocks noChangeArrowheads="1"/>
        </xdr:cNvSpPr>
      </xdr:nvSpPr>
      <xdr:spPr bwMode="auto">
        <a:xfrm>
          <a:off x="381000" y="2190750"/>
          <a:ext cx="8010525" cy="2381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Arial"/>
              <a:cs typeface="Arial"/>
            </a:rPr>
            <a:t>For questions about this worksheet, </a:t>
          </a:r>
          <a:r>
            <a:rPr lang="en-US" sz="1000" b="0" i="0" u="none" strike="noStrike" baseline="0">
              <a:solidFill>
                <a:srgbClr val="000000"/>
              </a:solidFill>
              <a:latin typeface="Arial"/>
              <a:ea typeface="+mn-ea"/>
              <a:cs typeface="Arial"/>
            </a:rPr>
            <a:t>contact SEMI Standards staff</a:t>
          </a:r>
          <a:r>
            <a:rPr lang="en-US" sz="1000" b="0" i="0" u="none" strike="noStrike" baseline="0">
              <a:solidFill>
                <a:srgbClr val="000000"/>
              </a:solidFill>
              <a:latin typeface="Arial"/>
              <a:cs typeface="Arial"/>
            </a:rPr>
            <a:t>.</a:t>
          </a:r>
          <a:endParaRPr lang="en-US"/>
        </a:p>
      </xdr:txBody>
    </xdr:sp>
    <xdr:clientData/>
  </xdr:twoCellAnchor>
  <xdr:twoCellAnchor>
    <xdr:from>
      <xdr:col>0</xdr:col>
      <xdr:colOff>371475</xdr:colOff>
      <xdr:row>16</xdr:row>
      <xdr:rowOff>95250</xdr:rowOff>
    </xdr:from>
    <xdr:to>
      <xdr:col>13</xdr:col>
      <xdr:colOff>457200</xdr:colOff>
      <xdr:row>17</xdr:row>
      <xdr:rowOff>104775</xdr:rowOff>
    </xdr:to>
    <xdr:sp macro="" textlink="">
      <xdr:nvSpPr>
        <xdr:cNvPr id="1027" name="Text Box 3"/>
        <xdr:cNvSpPr txBox="1">
          <a:spLocks noChangeArrowheads="1"/>
        </xdr:cNvSpPr>
      </xdr:nvSpPr>
      <xdr:spPr bwMode="auto">
        <a:xfrm>
          <a:off x="371475" y="2686050"/>
          <a:ext cx="8010525"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worksheet contains nine sheets.  Each is described below.</a:t>
          </a:r>
          <a:endParaRPr lang="en-US"/>
        </a:p>
      </xdr:txBody>
    </xdr:sp>
    <xdr:clientData/>
  </xdr:twoCellAnchor>
  <xdr:twoCellAnchor>
    <xdr:from>
      <xdr:col>1</xdr:col>
      <xdr:colOff>276225</xdr:colOff>
      <xdr:row>17</xdr:row>
      <xdr:rowOff>104775</xdr:rowOff>
    </xdr:from>
    <xdr:to>
      <xdr:col>13</xdr:col>
      <xdr:colOff>457200</xdr:colOff>
      <xdr:row>29</xdr:row>
      <xdr:rowOff>152400</xdr:rowOff>
    </xdr:to>
    <xdr:sp macro="" textlink="">
      <xdr:nvSpPr>
        <xdr:cNvPr id="1028" name="Text Box 4"/>
        <xdr:cNvSpPr txBox="1">
          <a:spLocks noChangeArrowheads="1"/>
        </xdr:cNvSpPr>
      </xdr:nvSpPr>
      <xdr:spPr bwMode="auto">
        <a:xfrm>
          <a:off x="885825" y="2857500"/>
          <a:ext cx="7496175" cy="1990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Introduction.</a:t>
          </a:r>
          <a:r>
            <a:rPr lang="en-US" sz="1000" b="0" i="0" u="none" strike="noStrike" baseline="0">
              <a:solidFill>
                <a:srgbClr val="000000"/>
              </a:solidFill>
              <a:latin typeface="Arial"/>
              <a:cs typeface="Arial"/>
            </a:rPr>
            <a:t>  Contains background information about the worksheet.</a:t>
          </a:r>
        </a:p>
        <a:p>
          <a:pPr algn="l" rtl="0">
            <a:defRPr sz="1000"/>
          </a:pPr>
          <a:r>
            <a:rPr lang="en-US" sz="1000" b="1" i="0" u="none" strike="noStrike" baseline="0">
              <a:solidFill>
                <a:srgbClr val="000000"/>
              </a:solidFill>
              <a:latin typeface="Arial"/>
              <a:cs typeface="Arial"/>
            </a:rPr>
            <a:t>Model.</a:t>
          </a:r>
          <a:r>
            <a:rPr lang="en-US" sz="1000" b="0" i="0" u="none" strike="noStrike" baseline="0">
              <a:solidFill>
                <a:srgbClr val="000000"/>
              </a:solidFill>
              <a:latin typeface="Arial"/>
              <a:cs typeface="Arial"/>
            </a:rPr>
            <a:t>  Contains the equations used to calculate Cost of Ownership and Total Utilization.  Each term is defined.</a:t>
          </a:r>
        </a:p>
        <a:p>
          <a:pPr algn="l" rtl="0">
            <a:defRPr sz="1000"/>
          </a:pPr>
          <a:r>
            <a:rPr lang="en-US" sz="1000" b="1" i="0" u="none" strike="noStrike" baseline="0">
              <a:solidFill>
                <a:srgbClr val="000000"/>
              </a:solidFill>
              <a:latin typeface="Arial"/>
              <a:cs typeface="Arial"/>
            </a:rPr>
            <a:t>Definitions. </a:t>
          </a:r>
          <a:r>
            <a:rPr lang="en-US" sz="1000" b="0" i="0" u="none" strike="noStrike" baseline="0">
              <a:solidFill>
                <a:srgbClr val="000000"/>
              </a:solidFill>
              <a:latin typeface="Arial"/>
              <a:cs typeface="Arial"/>
            </a:rPr>
            <a:t> This sheet defines the cost classifications used in computing Cost of Ownership.  Definitions are taken from SEMI E140.</a:t>
          </a:r>
        </a:p>
        <a:p>
          <a:pPr algn="l" rtl="0">
            <a:defRPr sz="1000"/>
          </a:pPr>
          <a:r>
            <a:rPr lang="en-US" sz="1000" b="1" i="0" u="none" strike="noStrike" baseline="0">
              <a:solidFill>
                <a:srgbClr val="000000"/>
              </a:solidFill>
              <a:latin typeface="Arial"/>
              <a:cs typeface="Arial"/>
            </a:rPr>
            <a:t>Inputs.</a:t>
          </a:r>
          <a:r>
            <a:rPr lang="en-US" sz="1000" b="0" i="0" u="none" strike="noStrike" baseline="0">
              <a:solidFill>
                <a:srgbClr val="000000"/>
              </a:solidFill>
              <a:latin typeface="Arial"/>
              <a:cs typeface="Arial"/>
            </a:rPr>
            <a:t>  The user enters input data in this sheet.</a:t>
          </a:r>
        </a:p>
        <a:p>
          <a:pPr algn="l" rtl="0">
            <a:defRPr sz="1000"/>
          </a:pPr>
          <a:r>
            <a:rPr lang="en-US" sz="1000" b="1" i="0" u="none" strike="noStrike" baseline="0">
              <a:solidFill>
                <a:srgbClr val="000000"/>
              </a:solidFill>
              <a:latin typeface="Arial"/>
              <a:cs typeface="Arial"/>
            </a:rPr>
            <a:t>Annualized Fixed Costs.</a:t>
          </a:r>
          <a:r>
            <a:rPr lang="en-US" sz="1000" b="0" i="0" u="none" strike="noStrike" baseline="0">
              <a:solidFill>
                <a:srgbClr val="000000"/>
              </a:solidFill>
              <a:latin typeface="Arial"/>
              <a:cs typeface="Arial"/>
            </a:rPr>
            <a:t>  This sheet calculates the fixed cost component of Cost of Ownership according to cost classification.  Costs are calculated as yearly costs for up to 10 years.</a:t>
          </a:r>
        </a:p>
        <a:p>
          <a:pPr algn="l" rtl="0">
            <a:defRPr sz="1000"/>
          </a:pPr>
          <a:r>
            <a:rPr lang="en-US" sz="1000" b="1" i="0" u="none" strike="noStrike" baseline="0">
              <a:solidFill>
                <a:srgbClr val="000000"/>
              </a:solidFill>
              <a:latin typeface="Arial"/>
              <a:cs typeface="Arial"/>
            </a:rPr>
            <a:t>Annualized Recurring Costs.</a:t>
          </a:r>
          <a:r>
            <a:rPr lang="en-US" sz="1000" b="0" i="0" u="none" strike="noStrike" baseline="0">
              <a:solidFill>
                <a:srgbClr val="000000"/>
              </a:solidFill>
              <a:latin typeface="Arial"/>
              <a:cs typeface="Arial"/>
            </a:rPr>
            <a:t>  This sheet calculates the recurring cost component of Cost of Ownership according to cost classification.  Costs are calculated as yearly costs for up to 10 years.</a:t>
          </a:r>
        </a:p>
        <a:p>
          <a:pPr algn="l" rtl="0">
            <a:defRPr sz="1000"/>
          </a:pPr>
          <a:r>
            <a:rPr lang="en-US" sz="1000" b="1" i="0" u="none" strike="noStrike" baseline="0">
              <a:solidFill>
                <a:srgbClr val="000000"/>
              </a:solidFill>
              <a:latin typeface="Arial"/>
              <a:cs typeface="Arial"/>
            </a:rPr>
            <a:t>Annualized Yield Costs.</a:t>
          </a:r>
          <a:r>
            <a:rPr lang="en-US" sz="1000" b="0" i="0" u="none" strike="noStrike" baseline="0">
              <a:solidFill>
                <a:srgbClr val="000000"/>
              </a:solidFill>
              <a:latin typeface="Arial"/>
              <a:cs typeface="Arial"/>
            </a:rPr>
            <a:t>  This sheet calculates the yield cost component of Cost of Ownership.  Costs are calculated</a:t>
          </a:r>
        </a:p>
        <a:p>
          <a:pPr algn="l" rtl="0">
            <a:defRPr sz="1000"/>
          </a:pPr>
          <a:r>
            <a:rPr lang="en-US" sz="1000" b="0" i="0" u="none" strike="noStrike" baseline="0">
              <a:solidFill>
                <a:srgbClr val="000000"/>
              </a:solidFill>
              <a:latin typeface="Arial"/>
              <a:cs typeface="Arial"/>
            </a:rPr>
            <a:t>as yearly costs for up to 10 years.</a:t>
          </a:r>
        </a:p>
        <a:p>
          <a:pPr algn="l" rtl="0">
            <a:defRPr sz="1000"/>
          </a:pPr>
          <a:r>
            <a:rPr lang="en-US" sz="1000" b="1" i="0" u="none" strike="noStrike" baseline="0">
              <a:solidFill>
                <a:srgbClr val="000000"/>
              </a:solidFill>
              <a:latin typeface="Arial"/>
              <a:cs typeface="Arial"/>
            </a:rPr>
            <a:t>Summary Calculations.</a:t>
          </a:r>
          <a:r>
            <a:rPr lang="en-US" sz="1000" b="0" i="0" u="none" strike="noStrike" baseline="0">
              <a:solidFill>
                <a:srgbClr val="000000"/>
              </a:solidFill>
              <a:latin typeface="Arial"/>
              <a:cs typeface="Arial"/>
            </a:rPr>
            <a:t>  This sheet calculates total Cost of Ownership.  </a:t>
          </a:r>
        </a:p>
        <a:p>
          <a:pPr algn="l" rtl="0">
            <a:defRPr sz="1000"/>
          </a:pPr>
          <a:r>
            <a:rPr lang="en-US" sz="1000" b="1" i="0" u="none" strike="noStrike" baseline="0">
              <a:solidFill>
                <a:srgbClr val="000000"/>
              </a:solidFill>
              <a:latin typeface="Arial"/>
              <a:cs typeface="Arial"/>
            </a:rPr>
            <a:t>Equipment Utilization.</a:t>
          </a:r>
          <a:r>
            <a:rPr lang="en-US" sz="1000" b="0" i="0" u="none" strike="noStrike" baseline="0">
              <a:solidFill>
                <a:srgbClr val="000000"/>
              </a:solidFill>
              <a:latin typeface="Arial"/>
              <a:cs typeface="Arial"/>
            </a:rPr>
            <a:t>  This sheet calculates the Equipment Total Utilization term in the Cost of Ownership equation.</a:t>
          </a:r>
          <a:endParaRPr lang="en-US"/>
        </a:p>
      </xdr:txBody>
    </xdr:sp>
    <xdr:clientData/>
  </xdr:twoCellAnchor>
  <xdr:twoCellAnchor>
    <xdr:from>
      <xdr:col>0</xdr:col>
      <xdr:colOff>371475</xdr:colOff>
      <xdr:row>17</xdr:row>
      <xdr:rowOff>104775</xdr:rowOff>
    </xdr:from>
    <xdr:to>
      <xdr:col>1</xdr:col>
      <xdr:colOff>276225</xdr:colOff>
      <xdr:row>29</xdr:row>
      <xdr:rowOff>152400</xdr:rowOff>
    </xdr:to>
    <xdr:sp macro="" textlink="">
      <xdr:nvSpPr>
        <xdr:cNvPr id="1029" name="Text Box 5"/>
        <xdr:cNvSpPr txBox="1">
          <a:spLocks noChangeArrowheads="1"/>
        </xdr:cNvSpPr>
      </xdr:nvSpPr>
      <xdr:spPr bwMode="auto">
        <a:xfrm>
          <a:off x="371475" y="2857500"/>
          <a:ext cx="514350" cy="1990725"/>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1000" b="1" i="0" u="none" strike="noStrike" baseline="0">
              <a:solidFill>
                <a:srgbClr val="000000"/>
              </a:solidFill>
              <a:latin typeface="Arial"/>
              <a:cs typeface="Arial"/>
            </a:rPr>
            <a:t>I.</a:t>
          </a:r>
        </a:p>
        <a:p>
          <a:pPr algn="r" rtl="0">
            <a:defRPr sz="1000"/>
          </a:pPr>
          <a:r>
            <a:rPr lang="en-US" sz="1000" b="1" i="0" u="none" strike="noStrike" baseline="0">
              <a:solidFill>
                <a:srgbClr val="000000"/>
              </a:solidFill>
              <a:latin typeface="Arial"/>
              <a:cs typeface="Arial"/>
            </a:rPr>
            <a:t>II.</a:t>
          </a:r>
        </a:p>
        <a:p>
          <a:pPr algn="r" rtl="0">
            <a:defRPr sz="1000"/>
          </a:pPr>
          <a:r>
            <a:rPr lang="en-US" sz="1000" b="1" i="0" u="none" strike="noStrike" baseline="0">
              <a:solidFill>
                <a:srgbClr val="000000"/>
              </a:solidFill>
              <a:latin typeface="Arial"/>
              <a:cs typeface="Arial"/>
            </a:rPr>
            <a:t>III.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IV.</a:t>
          </a:r>
        </a:p>
        <a:p>
          <a:pPr algn="r" rtl="0">
            <a:defRPr sz="1000"/>
          </a:pPr>
          <a:r>
            <a:rPr lang="en-US" sz="1000" b="1" i="0" u="none" strike="noStrike" baseline="0">
              <a:solidFill>
                <a:srgbClr val="000000"/>
              </a:solidFill>
              <a:latin typeface="Arial"/>
              <a:cs typeface="Arial"/>
            </a:rPr>
            <a:t>V.</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VIII.</a:t>
          </a:r>
        </a:p>
        <a:p>
          <a:pPr algn="r" rtl="0">
            <a:defRPr sz="1000"/>
          </a:pPr>
          <a:r>
            <a:rPr lang="en-US" sz="1000" b="1" i="0" u="none" strike="noStrike" baseline="0">
              <a:solidFill>
                <a:srgbClr val="000000"/>
              </a:solidFill>
              <a:latin typeface="Arial"/>
              <a:cs typeface="Arial"/>
            </a:rPr>
            <a:t>IX.</a:t>
          </a:r>
          <a:endParaRPr lang="en-US"/>
        </a:p>
      </xdr:txBody>
    </xdr:sp>
    <xdr:clientData/>
  </xdr:twoCellAnchor>
  <xdr:twoCellAnchor>
    <xdr:from>
      <xdr:col>0</xdr:col>
      <xdr:colOff>381000</xdr:colOff>
      <xdr:row>2</xdr:row>
      <xdr:rowOff>9525</xdr:rowOff>
    </xdr:from>
    <xdr:to>
      <xdr:col>13</xdr:col>
      <xdr:colOff>476250</xdr:colOff>
      <xdr:row>7</xdr:row>
      <xdr:rowOff>47625</xdr:rowOff>
    </xdr:to>
    <xdr:sp macro="" textlink="">
      <xdr:nvSpPr>
        <xdr:cNvPr id="7" name="Text Box 1"/>
        <xdr:cNvSpPr txBox="1">
          <a:spLocks noChangeArrowheads="1"/>
        </xdr:cNvSpPr>
      </xdr:nvSpPr>
      <xdr:spPr bwMode="auto">
        <a:xfrm>
          <a:off x="381000" y="333375"/>
          <a:ext cx="8020050" cy="8477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1" i="0">
              <a:effectLst/>
              <a:latin typeface="Arial" panose="020B0604020202020204" pitchFamily="34" charset="0"/>
              <a:ea typeface="+mn-ea"/>
              <a:cs typeface="Arial" panose="020B0604020202020204" pitchFamily="34" charset="0"/>
            </a:rPr>
            <a:t>NOTICE: </a:t>
          </a:r>
          <a:r>
            <a:rPr lang="en-US" sz="1000" b="0" i="0">
              <a:effectLst/>
              <a:latin typeface="Arial" panose="020B0604020202020204" pitchFamily="34" charset="0"/>
              <a:ea typeface="+mn-ea"/>
              <a:cs typeface="Arial" panose="020B0604020202020204" pitchFamily="34" charset="0"/>
            </a:rPr>
            <a:t>This Documents was created by the SEMI Standards Program during development and approval of SEMI E140. This file is published separately from and is a part of, but not official content of, SEMI E140. SEMI hereby grants permission to reproduce and use the following material, subject to the following reservations and conditions: This digital form is supplied for the users' convenience. It may be used with SEMI E140 from which it was excerpted as an example implementation. All notices and disclaimers that pertain to SEMI E140 are in effect for this form except where otherwise noted. SEMI retains all other rights.</a:t>
          </a:r>
          <a:endParaRPr lang="en-US" sz="10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1752600</xdr:colOff>
          <xdr:row>43</xdr:row>
          <xdr:rowOff>66675</xdr:rowOff>
        </xdr:from>
        <xdr:to>
          <xdr:col>3</xdr:col>
          <xdr:colOff>1866900</xdr:colOff>
          <xdr:row>44</xdr:row>
          <xdr:rowOff>0</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43</xdr:row>
          <xdr:rowOff>66675</xdr:rowOff>
        </xdr:from>
        <xdr:to>
          <xdr:col>3</xdr:col>
          <xdr:colOff>2228850</xdr:colOff>
          <xdr:row>44</xdr:row>
          <xdr:rowOff>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9524</xdr:colOff>
      <xdr:row>1</xdr:row>
      <xdr:rowOff>0</xdr:rowOff>
    </xdr:from>
    <xdr:to>
      <xdr:col>4</xdr:col>
      <xdr:colOff>476250</xdr:colOff>
      <xdr:row>3</xdr:row>
      <xdr:rowOff>9525</xdr:rowOff>
    </xdr:to>
    <xdr:sp macro="" textlink="">
      <xdr:nvSpPr>
        <xdr:cNvPr id="2049" name="Text Box 1"/>
        <xdr:cNvSpPr txBox="1">
          <a:spLocks noChangeArrowheads="1"/>
        </xdr:cNvSpPr>
      </xdr:nvSpPr>
      <xdr:spPr bwMode="auto">
        <a:xfrm>
          <a:off x="9524" y="158750"/>
          <a:ext cx="10034059" cy="327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sheet contains the input data used to compute COO.  Column C contains the values used in the Related Information 1.  Column D lists the source of the data in Column C.  The user inputs are entered in Column E.  All subsequent sheets in this workbook use the data in Column E in calculations.</a:t>
          </a: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H33" sqref="H33"/>
    </sheetView>
  </sheetViews>
  <sheetFormatPr defaultRowHeight="12.75" x14ac:dyDescent="0.2"/>
  <sheetData/>
  <phoneticPr fontId="0" type="noConversion"/>
  <pageMargins left="0.5" right="0.5" top="1" bottom="1" header="0.5" footer="0.5"/>
  <pageSetup orientation="landscape" r:id="rId1"/>
  <headerFooter alignWithMargins="0">
    <oddHeader>&amp;CInstructions for Using Model to Calculate COO of Gas Delivery Systems</oddHeader>
    <oddFooter>&amp;LRefer to SEMI Document xxxx&amp;CPage &amp;P&amp;RCreated 06/25/99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zoomScaleSheetLayoutView="75" workbookViewId="0"/>
  </sheetViews>
  <sheetFormatPr defaultRowHeight="12.75" x14ac:dyDescent="0.2"/>
  <cols>
    <col min="1" max="1" width="7.42578125" customWidth="1"/>
    <col min="2" max="2" width="19.7109375" customWidth="1"/>
    <col min="3" max="3" width="6.7109375" customWidth="1"/>
    <col min="4" max="5" width="7.140625" customWidth="1"/>
  </cols>
  <sheetData>
    <row r="1" spans="1:5" x14ac:dyDescent="0.2">
      <c r="A1" t="s">
        <v>418</v>
      </c>
    </row>
    <row r="3" spans="1:5" x14ac:dyDescent="0.2">
      <c r="A3" s="216" t="s">
        <v>4</v>
      </c>
      <c r="B3" s="186" t="s">
        <v>5</v>
      </c>
    </row>
    <row r="4" spans="1:5" x14ac:dyDescent="0.2">
      <c r="A4" s="217"/>
      <c r="B4" s="187" t="s">
        <v>6</v>
      </c>
    </row>
    <row r="5" spans="1:5" x14ac:dyDescent="0.2">
      <c r="B5" t="s">
        <v>65</v>
      </c>
      <c r="C5" s="188" t="s">
        <v>66</v>
      </c>
      <c r="D5" t="s">
        <v>208</v>
      </c>
    </row>
    <row r="6" spans="1:5" x14ac:dyDescent="0.2">
      <c r="C6" s="188" t="s">
        <v>67</v>
      </c>
      <c r="D6" t="s">
        <v>200</v>
      </c>
    </row>
    <row r="7" spans="1:5" x14ac:dyDescent="0.2">
      <c r="C7" s="188" t="s">
        <v>68</v>
      </c>
      <c r="D7" t="s">
        <v>207</v>
      </c>
    </row>
    <row r="8" spans="1:5" x14ac:dyDescent="0.2">
      <c r="C8" s="188" t="s">
        <v>69</v>
      </c>
      <c r="D8" s="145" t="s">
        <v>425</v>
      </c>
    </row>
    <row r="9" spans="1:5" x14ac:dyDescent="0.2">
      <c r="C9" s="188" t="s">
        <v>426</v>
      </c>
      <c r="D9" s="146" t="s">
        <v>427</v>
      </c>
    </row>
    <row r="10" spans="1:5" x14ac:dyDescent="0.2">
      <c r="C10" s="188" t="s">
        <v>428</v>
      </c>
      <c r="D10" s="145" t="s">
        <v>429</v>
      </c>
    </row>
    <row r="11" spans="1:5" x14ac:dyDescent="0.2">
      <c r="C11" s="188" t="s">
        <v>430</v>
      </c>
      <c r="D11" s="145" t="s">
        <v>431</v>
      </c>
    </row>
    <row r="13" spans="1:5" x14ac:dyDescent="0.2">
      <c r="B13" s="1"/>
    </row>
    <row r="14" spans="1:5" x14ac:dyDescent="0.2">
      <c r="A14" s="187" t="s">
        <v>432</v>
      </c>
      <c r="B14" s="190" t="s">
        <v>7</v>
      </c>
      <c r="C14" s="3"/>
      <c r="D14" s="3"/>
      <c r="E14" s="3"/>
    </row>
    <row r="15" spans="1:5" x14ac:dyDescent="0.2">
      <c r="B15" t="s">
        <v>65</v>
      </c>
      <c r="C15" s="189" t="s">
        <v>70</v>
      </c>
      <c r="D15" t="s">
        <v>71</v>
      </c>
    </row>
    <row r="16" spans="1:5" x14ac:dyDescent="0.2">
      <c r="C16" s="189" t="s">
        <v>72</v>
      </c>
      <c r="D16" t="s">
        <v>73</v>
      </c>
    </row>
    <row r="17" spans="1:14" x14ac:dyDescent="0.2">
      <c r="C17" s="189" t="s">
        <v>433</v>
      </c>
      <c r="D17" s="145" t="s">
        <v>2</v>
      </c>
    </row>
    <row r="18" spans="1:14" x14ac:dyDescent="0.2">
      <c r="C18" s="189" t="s">
        <v>74</v>
      </c>
      <c r="D18" t="s">
        <v>75</v>
      </c>
    </row>
    <row r="19" spans="1:14" x14ac:dyDescent="0.2">
      <c r="C19" s="189" t="s">
        <v>76</v>
      </c>
      <c r="D19" t="s">
        <v>77</v>
      </c>
      <c r="H19" s="146" t="s">
        <v>420</v>
      </c>
    </row>
    <row r="20" spans="1:14" x14ac:dyDescent="0.2">
      <c r="C20" s="189" t="s">
        <v>78</v>
      </c>
      <c r="D20" t="s">
        <v>434</v>
      </c>
    </row>
    <row r="21" spans="1:14" x14ac:dyDescent="0.2">
      <c r="C21" s="189" t="s">
        <v>79</v>
      </c>
      <c r="D21" t="s">
        <v>435</v>
      </c>
      <c r="K21" s="138"/>
    </row>
    <row r="22" spans="1:14" x14ac:dyDescent="0.2">
      <c r="C22" s="189"/>
      <c r="K22" s="138"/>
    </row>
    <row r="23" spans="1:14" x14ac:dyDescent="0.2">
      <c r="B23" s="2" t="s">
        <v>80</v>
      </c>
    </row>
    <row r="24" spans="1:14" x14ac:dyDescent="0.2">
      <c r="B24" s="2" t="s">
        <v>81</v>
      </c>
    </row>
    <row r="25" spans="1:14" x14ac:dyDescent="0.2">
      <c r="B25" s="2"/>
    </row>
    <row r="27" spans="1:14" x14ac:dyDescent="0.2">
      <c r="B27" s="2"/>
    </row>
    <row r="28" spans="1:14" x14ac:dyDescent="0.2">
      <c r="A28" s="191" t="s">
        <v>8</v>
      </c>
      <c r="B28" s="4"/>
      <c r="C28" s="4"/>
      <c r="D28" s="4"/>
      <c r="E28" s="4"/>
      <c r="F28" s="4"/>
      <c r="G28" s="4"/>
      <c r="H28" s="4"/>
      <c r="I28" s="4"/>
      <c r="J28" s="4"/>
      <c r="K28" s="4"/>
      <c r="L28" s="4"/>
      <c r="M28" s="4"/>
      <c r="N28" s="4"/>
    </row>
    <row r="29" spans="1:14" x14ac:dyDescent="0.2">
      <c r="A29" s="4" t="s">
        <v>210</v>
      </c>
      <c r="B29" s="4"/>
      <c r="C29" s="4"/>
      <c r="D29" s="4"/>
      <c r="E29" s="4"/>
      <c r="F29" s="4"/>
      <c r="G29" s="4"/>
      <c r="H29" s="4"/>
      <c r="I29" s="4"/>
      <c r="J29" s="4"/>
      <c r="K29" s="4"/>
      <c r="L29" s="4"/>
      <c r="M29" s="4"/>
      <c r="N29" s="4"/>
    </row>
    <row r="30" spans="1:14" x14ac:dyDescent="0.2">
      <c r="A30" s="191" t="s">
        <v>9</v>
      </c>
      <c r="B30" s="4"/>
      <c r="C30" s="4"/>
      <c r="D30" s="4"/>
      <c r="E30" s="4"/>
      <c r="F30" s="4"/>
      <c r="G30" s="4"/>
      <c r="H30" s="4"/>
      <c r="I30" s="4"/>
      <c r="J30" s="4"/>
      <c r="K30" s="4"/>
      <c r="L30" s="4"/>
      <c r="M30" s="4"/>
      <c r="N30" s="4"/>
    </row>
    <row r="31" spans="1:14" x14ac:dyDescent="0.2">
      <c r="A31" s="191" t="s">
        <v>10</v>
      </c>
      <c r="B31" s="4"/>
      <c r="C31" s="4"/>
      <c r="D31" s="4"/>
      <c r="E31" s="4"/>
      <c r="F31" s="4"/>
      <c r="G31" s="4"/>
      <c r="H31" s="4"/>
      <c r="I31" s="4"/>
      <c r="J31" s="4"/>
      <c r="K31" s="4"/>
      <c r="L31" s="4"/>
      <c r="M31" s="4"/>
      <c r="N31" s="4"/>
    </row>
    <row r="32" spans="1:14" x14ac:dyDescent="0.2">
      <c r="A32" s="191" t="s">
        <v>11</v>
      </c>
      <c r="B32" s="4"/>
      <c r="C32" s="4"/>
      <c r="D32" s="4"/>
      <c r="E32" s="4"/>
      <c r="F32" s="4"/>
      <c r="G32" s="4"/>
      <c r="H32" s="4"/>
      <c r="I32" s="4"/>
      <c r="J32" s="4"/>
      <c r="K32" s="4"/>
      <c r="L32" s="4"/>
      <c r="M32" s="4"/>
      <c r="N32" s="4"/>
    </row>
    <row r="33" spans="1:14" x14ac:dyDescent="0.2">
      <c r="A33" s="191" t="s">
        <v>12</v>
      </c>
      <c r="B33" s="4"/>
      <c r="C33" s="4"/>
      <c r="D33" s="4"/>
      <c r="E33" s="4"/>
      <c r="F33" s="4"/>
      <c r="G33" s="4"/>
      <c r="H33" s="4"/>
      <c r="I33" s="4"/>
      <c r="J33" s="4"/>
      <c r="K33" s="4"/>
      <c r="L33" s="4"/>
      <c r="M33" s="4"/>
      <c r="N33" s="4"/>
    </row>
  </sheetData>
  <mergeCells count="1">
    <mergeCell ref="A3:A4"/>
  </mergeCells>
  <phoneticPr fontId="0" type="noConversion"/>
  <printOptions gridLines="1" gridLinesSet="0"/>
  <pageMargins left="0.5" right="0.5" top="1" bottom="1" header="0.5" footer="0.5"/>
  <pageSetup orientation="landscape" r:id="rId1"/>
  <headerFooter alignWithMargins="0">
    <oddHeader>&amp;CModel Equations for Calculating COO of Gas Delivery Systems</oddHeader>
    <oddFooter>&amp;LRefer to SEMI Document xxxx&amp;CPage &amp;P&amp;RCreated 06/25/99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7"/>
  <sheetViews>
    <sheetView zoomScaleNormal="100" workbookViewId="0"/>
  </sheetViews>
  <sheetFormatPr defaultRowHeight="12.75" x14ac:dyDescent="0.2"/>
  <cols>
    <col min="1" max="1" width="13" customWidth="1"/>
    <col min="2" max="2" width="22.140625" customWidth="1"/>
    <col min="3" max="3" width="38.42578125" customWidth="1"/>
    <col min="4" max="4" width="53.7109375" customWidth="1"/>
  </cols>
  <sheetData>
    <row r="1" spans="1:4" x14ac:dyDescent="0.2">
      <c r="A1" t="s">
        <v>194</v>
      </c>
    </row>
    <row r="3" spans="1:4" x14ac:dyDescent="0.2">
      <c r="A3" s="214" t="s">
        <v>489</v>
      </c>
    </row>
    <row r="4" spans="1:4" ht="13.5" thickBot="1" x14ac:dyDescent="0.25">
      <c r="A4" s="211" t="s">
        <v>488</v>
      </c>
      <c r="B4" s="5"/>
      <c r="C4" s="5"/>
      <c r="D4" s="5"/>
    </row>
    <row r="5" spans="1:4" s="147" customFormat="1" ht="13.5" thickBot="1" x14ac:dyDescent="0.25">
      <c r="A5" s="192" t="s">
        <v>377</v>
      </c>
      <c r="B5" s="193" t="s">
        <v>378</v>
      </c>
      <c r="C5" s="193" t="s">
        <v>379</v>
      </c>
      <c r="D5" s="193" t="s">
        <v>380</v>
      </c>
    </row>
    <row r="6" spans="1:4" s="148" customFormat="1" ht="72.75" thickBot="1" x14ac:dyDescent="0.25">
      <c r="A6" s="194" t="s">
        <v>195</v>
      </c>
      <c r="B6" s="195" t="s">
        <v>381</v>
      </c>
      <c r="C6" s="196" t="s">
        <v>490</v>
      </c>
      <c r="D6" s="196" t="s">
        <v>382</v>
      </c>
    </row>
    <row r="7" spans="1:4" s="148" customFormat="1" ht="37.5" customHeight="1" thickBot="1" x14ac:dyDescent="0.25">
      <c r="A7" s="194" t="s">
        <v>195</v>
      </c>
      <c r="B7" s="195" t="s">
        <v>83</v>
      </c>
      <c r="C7" s="196" t="s">
        <v>491</v>
      </c>
      <c r="D7" s="196" t="s">
        <v>383</v>
      </c>
    </row>
    <row r="8" spans="1:4" s="148" customFormat="1" ht="84.75" customHeight="1" thickBot="1" x14ac:dyDescent="0.25">
      <c r="A8" s="194" t="s">
        <v>195</v>
      </c>
      <c r="B8" s="195" t="s">
        <v>496</v>
      </c>
      <c r="C8" s="196" t="s">
        <v>492</v>
      </c>
      <c r="D8" s="196" t="s">
        <v>497</v>
      </c>
    </row>
    <row r="9" spans="1:4" s="148" customFormat="1" ht="48.75" thickBot="1" x14ac:dyDescent="0.25">
      <c r="A9" s="194" t="s">
        <v>195</v>
      </c>
      <c r="B9" s="195" t="s">
        <v>384</v>
      </c>
      <c r="C9" s="196" t="s">
        <v>493</v>
      </c>
      <c r="D9" s="196" t="s">
        <v>385</v>
      </c>
    </row>
    <row r="10" spans="1:4" s="148" customFormat="1" ht="60.75" thickBot="1" x14ac:dyDescent="0.25">
      <c r="A10" s="194" t="s">
        <v>195</v>
      </c>
      <c r="B10" s="195" t="s">
        <v>386</v>
      </c>
      <c r="C10" s="196" t="s">
        <v>494</v>
      </c>
      <c r="D10" s="196" t="s">
        <v>387</v>
      </c>
    </row>
    <row r="11" spans="1:4" s="148" customFormat="1" ht="48.75" thickBot="1" x14ac:dyDescent="0.25">
      <c r="A11" s="194" t="s">
        <v>388</v>
      </c>
      <c r="B11" s="195" t="s">
        <v>389</v>
      </c>
      <c r="C11" s="196" t="s">
        <v>495</v>
      </c>
      <c r="D11" s="196" t="s">
        <v>390</v>
      </c>
    </row>
    <row r="12" spans="1:4" s="148" customFormat="1" ht="24.75" thickBot="1" x14ac:dyDescent="0.25">
      <c r="A12" s="194" t="s">
        <v>388</v>
      </c>
      <c r="B12" s="195" t="s">
        <v>84</v>
      </c>
      <c r="C12" s="196" t="s">
        <v>391</v>
      </c>
      <c r="D12" s="196" t="s">
        <v>498</v>
      </c>
    </row>
    <row r="13" spans="1:4" s="148" customFormat="1" x14ac:dyDescent="0.2">
      <c r="A13" s="209" t="s">
        <v>484</v>
      </c>
      <c r="B13" s="202"/>
      <c r="C13" s="203"/>
      <c r="D13" s="203"/>
    </row>
    <row r="14" spans="1:4" s="148" customFormat="1" x14ac:dyDescent="0.2">
      <c r="A14" s="209" t="s">
        <v>485</v>
      </c>
      <c r="B14" s="202"/>
      <c r="C14" s="203"/>
      <c r="D14" s="203"/>
    </row>
    <row r="15" spans="1:4" s="148" customFormat="1" x14ac:dyDescent="0.2">
      <c r="A15" s="209"/>
      <c r="B15" s="202"/>
      <c r="C15" s="203"/>
      <c r="D15" s="203"/>
    </row>
    <row r="16" spans="1:4" s="148" customFormat="1" x14ac:dyDescent="0.2">
      <c r="A16" s="145" t="s">
        <v>499</v>
      </c>
      <c r="B16" s="145"/>
      <c r="C16" s="145"/>
      <c r="D16" s="145"/>
    </row>
    <row r="17" spans="1:4" s="146" customFormat="1" ht="13.5" thickBot="1" x14ac:dyDescent="0.25">
      <c r="A17" s="212" t="s">
        <v>500</v>
      </c>
      <c r="B17" s="197"/>
      <c r="C17" s="197"/>
      <c r="D17" s="197"/>
    </row>
    <row r="18" spans="1:4" s="147" customFormat="1" ht="13.5" thickBot="1" x14ac:dyDescent="0.25">
      <c r="A18" s="192" t="s">
        <v>392</v>
      </c>
      <c r="B18" s="193" t="s">
        <v>393</v>
      </c>
      <c r="C18" s="193" t="s">
        <v>379</v>
      </c>
      <c r="D18" s="193" t="s">
        <v>380</v>
      </c>
    </row>
    <row r="19" spans="1:4" s="148" customFormat="1" ht="74.25" customHeight="1" thickBot="1" x14ac:dyDescent="0.25">
      <c r="A19" s="194" t="s">
        <v>394</v>
      </c>
      <c r="B19" s="195" t="s">
        <v>395</v>
      </c>
      <c r="C19" s="196" t="s">
        <v>501</v>
      </c>
      <c r="D19" s="196" t="s">
        <v>502</v>
      </c>
    </row>
    <row r="20" spans="1:4" s="148" customFormat="1" ht="48.75" thickBot="1" x14ac:dyDescent="0.25">
      <c r="A20" s="194" t="s">
        <v>394</v>
      </c>
      <c r="B20" s="195" t="s">
        <v>396</v>
      </c>
      <c r="C20" s="196" t="s">
        <v>504</v>
      </c>
      <c r="D20" s="196" t="s">
        <v>503</v>
      </c>
    </row>
    <row r="21" spans="1:4" s="148" customFormat="1" ht="24.75" thickBot="1" x14ac:dyDescent="0.25">
      <c r="A21" s="194" t="s">
        <v>394</v>
      </c>
      <c r="B21" s="195" t="s">
        <v>140</v>
      </c>
      <c r="C21" s="196" t="s">
        <v>506</v>
      </c>
      <c r="D21" s="196" t="s">
        <v>505</v>
      </c>
    </row>
    <row r="22" spans="1:4" s="148" customFormat="1" ht="72.75" thickBot="1" x14ac:dyDescent="0.25">
      <c r="A22" s="194" t="s">
        <v>394</v>
      </c>
      <c r="B22" s="195" t="s">
        <v>397</v>
      </c>
      <c r="C22" s="196" t="s">
        <v>507</v>
      </c>
      <c r="D22" s="196" t="s">
        <v>508</v>
      </c>
    </row>
    <row r="23" spans="1:4" s="148" customFormat="1" ht="48.75" thickBot="1" x14ac:dyDescent="0.25">
      <c r="A23" s="194" t="s">
        <v>394</v>
      </c>
      <c r="B23" s="195" t="s">
        <v>141</v>
      </c>
      <c r="C23" s="196" t="s">
        <v>398</v>
      </c>
      <c r="D23" s="196" t="s">
        <v>509</v>
      </c>
    </row>
    <row r="24" spans="1:4" s="148" customFormat="1" ht="120" customHeight="1" thickBot="1" x14ac:dyDescent="0.25">
      <c r="A24" s="194" t="s">
        <v>134</v>
      </c>
      <c r="B24" s="195" t="s">
        <v>135</v>
      </c>
      <c r="C24" s="196" t="s">
        <v>510</v>
      </c>
      <c r="D24" s="196" t="s">
        <v>512</v>
      </c>
    </row>
    <row r="25" spans="1:4" s="148" customFormat="1" ht="60.75" thickBot="1" x14ac:dyDescent="0.25">
      <c r="A25" s="194" t="s">
        <v>134</v>
      </c>
      <c r="B25" s="195" t="s">
        <v>142</v>
      </c>
      <c r="C25" s="196" t="s">
        <v>399</v>
      </c>
      <c r="D25" s="196" t="s">
        <v>511</v>
      </c>
    </row>
    <row r="26" spans="1:4" s="148" customFormat="1" ht="36.75" thickBot="1" x14ac:dyDescent="0.25">
      <c r="A26" s="194" t="s">
        <v>134</v>
      </c>
      <c r="B26" s="195" t="s">
        <v>143</v>
      </c>
      <c r="C26" s="196" t="s">
        <v>400</v>
      </c>
      <c r="D26" s="196" t="s">
        <v>513</v>
      </c>
    </row>
    <row r="27" spans="1:4" s="148" customFormat="1" ht="24.75" thickBot="1" x14ac:dyDescent="0.25">
      <c r="A27" s="194" t="s">
        <v>134</v>
      </c>
      <c r="B27" s="195" t="s">
        <v>61</v>
      </c>
      <c r="C27" s="196" t="s">
        <v>401</v>
      </c>
      <c r="D27" s="196" t="s">
        <v>502</v>
      </c>
    </row>
    <row r="28" spans="1:4" s="145" customFormat="1" ht="75" customHeight="1" thickBot="1" x14ac:dyDescent="0.25">
      <c r="A28" s="213" t="s">
        <v>195</v>
      </c>
      <c r="B28" s="195" t="s">
        <v>516</v>
      </c>
      <c r="C28" s="196" t="s">
        <v>517</v>
      </c>
      <c r="D28" s="196" t="s">
        <v>518</v>
      </c>
    </row>
    <row r="29" spans="1:4" s="148" customFormat="1" ht="48.75" thickBot="1" x14ac:dyDescent="0.25">
      <c r="A29" s="194" t="s">
        <v>135</v>
      </c>
      <c r="B29" s="195" t="s">
        <v>146</v>
      </c>
      <c r="C29" s="196" t="s">
        <v>514</v>
      </c>
      <c r="D29" s="196" t="s">
        <v>402</v>
      </c>
    </row>
    <row r="30" spans="1:4" s="148" customFormat="1" ht="87" customHeight="1" thickBot="1" x14ac:dyDescent="0.25">
      <c r="A30" s="194" t="s">
        <v>135</v>
      </c>
      <c r="B30" s="195" t="s">
        <v>403</v>
      </c>
      <c r="C30" s="196" t="s">
        <v>515</v>
      </c>
      <c r="D30" s="196" t="s">
        <v>519</v>
      </c>
    </row>
    <row r="31" spans="1:4" s="148" customFormat="1" ht="48.75" thickBot="1" x14ac:dyDescent="0.25">
      <c r="A31" s="194" t="s">
        <v>135</v>
      </c>
      <c r="B31" s="195" t="s">
        <v>138</v>
      </c>
      <c r="C31" s="196" t="s">
        <v>404</v>
      </c>
      <c r="D31" s="196" t="s">
        <v>405</v>
      </c>
    </row>
    <row r="32" spans="1:4" s="145" customFormat="1" x14ac:dyDescent="0.2">
      <c r="A32" s="209" t="s">
        <v>520</v>
      </c>
      <c r="B32" s="202"/>
      <c r="C32" s="203"/>
      <c r="D32" s="203"/>
    </row>
    <row r="33" spans="1:4" s="145" customFormat="1" x14ac:dyDescent="0.2">
      <c r="A33" s="209" t="s">
        <v>521</v>
      </c>
      <c r="B33" s="202"/>
      <c r="C33" s="203"/>
      <c r="D33" s="203"/>
    </row>
    <row r="34" spans="1:4" s="148" customFormat="1" x14ac:dyDescent="0.2">
      <c r="A34" s="202"/>
      <c r="B34" s="202"/>
      <c r="C34" s="203"/>
      <c r="D34" s="203"/>
    </row>
    <row r="35" spans="1:4" s="148" customFormat="1" x14ac:dyDescent="0.2">
      <c r="A35" s="145" t="s">
        <v>522</v>
      </c>
      <c r="B35" s="145"/>
      <c r="C35" s="145"/>
      <c r="D35" s="145"/>
    </row>
    <row r="36" spans="1:4" s="148" customFormat="1" x14ac:dyDescent="0.2">
      <c r="A36" s="145" t="s">
        <v>232</v>
      </c>
      <c r="B36" s="145"/>
      <c r="C36" s="145"/>
      <c r="D36" s="145"/>
    </row>
    <row r="37" spans="1:4" s="146" customFormat="1" ht="13.5" thickBot="1" x14ac:dyDescent="0.25">
      <c r="A37" s="211" t="s">
        <v>523</v>
      </c>
      <c r="B37" s="145"/>
      <c r="C37" s="197"/>
    </row>
    <row r="38" spans="1:4" s="147" customFormat="1" ht="13.5" thickBot="1" x14ac:dyDescent="0.25">
      <c r="A38" s="192" t="s">
        <v>406</v>
      </c>
      <c r="B38" s="193" t="s">
        <v>407</v>
      </c>
      <c r="C38" s="193" t="s">
        <v>379</v>
      </c>
      <c r="D38" s="193" t="s">
        <v>380</v>
      </c>
    </row>
    <row r="39" spans="1:4" s="148" customFormat="1" ht="84.75" thickBot="1" x14ac:dyDescent="0.25">
      <c r="A39" s="194" t="s">
        <v>137</v>
      </c>
      <c r="B39" s="195" t="s">
        <v>408</v>
      </c>
      <c r="C39" s="196" t="s">
        <v>524</v>
      </c>
      <c r="D39" s="196" t="s">
        <v>525</v>
      </c>
    </row>
    <row r="40" spans="1:4" s="148" customFormat="1" ht="48" x14ac:dyDescent="0.2">
      <c r="A40" s="218" t="s">
        <v>137</v>
      </c>
      <c r="B40" s="218" t="s">
        <v>409</v>
      </c>
      <c r="C40" s="221" t="s">
        <v>526</v>
      </c>
      <c r="D40" s="198" t="s">
        <v>527</v>
      </c>
    </row>
    <row r="41" spans="1:4" s="148" customFormat="1" x14ac:dyDescent="0.2">
      <c r="A41" s="219"/>
      <c r="B41" s="219"/>
      <c r="C41" s="222"/>
      <c r="D41" s="198"/>
    </row>
    <row r="42" spans="1:4" s="148" customFormat="1" x14ac:dyDescent="0.2">
      <c r="A42" s="219"/>
      <c r="B42" s="219"/>
      <c r="C42" s="222"/>
      <c r="D42" s="199">
        <v>1</v>
      </c>
    </row>
    <row r="43" spans="1:4" s="148" customFormat="1" x14ac:dyDescent="0.2">
      <c r="A43" s="219"/>
      <c r="B43" s="219"/>
      <c r="C43" s="222"/>
      <c r="D43" s="201" t="s">
        <v>14</v>
      </c>
    </row>
    <row r="44" spans="1:4" s="148" customFormat="1" ht="15" x14ac:dyDescent="0.2">
      <c r="A44" s="219"/>
      <c r="B44" s="219"/>
      <c r="C44" s="222"/>
      <c r="D44" s="199" t="s">
        <v>13</v>
      </c>
    </row>
    <row r="45" spans="1:4" s="148" customFormat="1" x14ac:dyDescent="0.2">
      <c r="A45" s="219"/>
      <c r="B45" s="219"/>
      <c r="C45" s="222"/>
      <c r="D45" s="199"/>
    </row>
    <row r="46" spans="1:4" s="148" customFormat="1" ht="87" customHeight="1" thickBot="1" x14ac:dyDescent="0.25">
      <c r="A46" s="220"/>
      <c r="B46" s="220"/>
      <c r="C46" s="223"/>
      <c r="D46" s="196" t="s">
        <v>528</v>
      </c>
    </row>
    <row r="47" spans="1:4" s="148" customFormat="1" ht="72.75" thickBot="1" x14ac:dyDescent="0.25">
      <c r="A47" s="194" t="s">
        <v>137</v>
      </c>
      <c r="B47" s="195" t="s">
        <v>410</v>
      </c>
      <c r="C47" s="200" t="s">
        <v>530</v>
      </c>
      <c r="D47" s="200" t="s">
        <v>529</v>
      </c>
    </row>
  </sheetData>
  <mergeCells count="3">
    <mergeCell ref="A40:A46"/>
    <mergeCell ref="B40:B46"/>
    <mergeCell ref="C40:C46"/>
  </mergeCells>
  <phoneticPr fontId="0" type="noConversion"/>
  <pageMargins left="0.5" right="0.5" top="1" bottom="1" header="0.5" footer="0.5"/>
  <pageSetup orientation="landscape" r:id="rId1"/>
  <headerFooter alignWithMargins="0">
    <oddHeader>&amp;CDefinitions Used in Calculating COO of Gas Delivery Systems</oddHeader>
    <oddFooter>&amp;LRefer to SEMI Document xxxx&amp;CPage &amp;P&amp;RCreated 06/25/99</oddFooter>
  </headerFooter>
  <drawing r:id="rId2"/>
  <legacyDrawing r:id="rId3"/>
  <oleObjects>
    <mc:AlternateContent xmlns:mc="http://schemas.openxmlformats.org/markup-compatibility/2006">
      <mc:Choice Requires="x14">
        <oleObject progId="Equation.3" shapeId="4098" r:id="rId4">
          <objectPr defaultSize="0" autoPict="0" r:id="rId5">
            <anchor moveWithCells="1" sizeWithCells="1">
              <from>
                <xdr:col>3</xdr:col>
                <xdr:colOff>1752600</xdr:colOff>
                <xdr:row>43</xdr:row>
                <xdr:rowOff>66675</xdr:rowOff>
              </from>
              <to>
                <xdr:col>3</xdr:col>
                <xdr:colOff>1866900</xdr:colOff>
                <xdr:row>44</xdr:row>
                <xdr:rowOff>0</xdr:rowOff>
              </to>
            </anchor>
          </objectPr>
        </oleObject>
      </mc:Choice>
      <mc:Fallback>
        <oleObject progId="Equation.3" shapeId="4098" r:id="rId4"/>
      </mc:Fallback>
    </mc:AlternateContent>
    <mc:AlternateContent xmlns:mc="http://schemas.openxmlformats.org/markup-compatibility/2006">
      <mc:Choice Requires="x14">
        <oleObject progId="Equation.3" shapeId="4097" r:id="rId6">
          <objectPr defaultSize="0" autoPict="0" r:id="rId7">
            <anchor moveWithCells="1" sizeWithCells="1">
              <from>
                <xdr:col>3</xdr:col>
                <xdr:colOff>2114550</xdr:colOff>
                <xdr:row>43</xdr:row>
                <xdr:rowOff>66675</xdr:rowOff>
              </from>
              <to>
                <xdr:col>3</xdr:col>
                <xdr:colOff>2228850</xdr:colOff>
                <xdr:row>44</xdr:row>
                <xdr:rowOff>0</xdr:rowOff>
              </to>
            </anchor>
          </objectPr>
        </oleObject>
      </mc:Choice>
      <mc:Fallback>
        <oleObject progId="Equation.3" shapeId="409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zoomScaleNormal="100" workbookViewId="0">
      <pane ySplit="6" topLeftCell="A7" activePane="bottomLeft" state="frozenSplit"/>
      <selection pane="bottomLeft"/>
    </sheetView>
  </sheetViews>
  <sheetFormatPr defaultColWidth="9.140625" defaultRowHeight="12.75" x14ac:dyDescent="0.2"/>
  <cols>
    <col min="1" max="1" width="68.140625" style="6" customWidth="1"/>
    <col min="2" max="2" width="21" style="6" customWidth="1"/>
    <col min="3" max="3" width="16.42578125" style="6" customWidth="1"/>
    <col min="4" max="4" width="38" style="6" customWidth="1"/>
    <col min="5" max="5" width="13.7109375" style="6" bestFit="1" customWidth="1"/>
    <col min="6" max="6" width="17.85546875" style="6" customWidth="1"/>
    <col min="7" max="16384" width="9.140625" style="6"/>
  </cols>
  <sheetData>
    <row r="1" spans="1:6" x14ac:dyDescent="0.2">
      <c r="A1" s="51"/>
      <c r="B1" s="51"/>
      <c r="C1" s="51"/>
      <c r="D1" s="51"/>
    </row>
    <row r="2" spans="1:6" x14ac:dyDescent="0.2">
      <c r="A2" s="51"/>
      <c r="B2" s="51"/>
      <c r="C2" s="51"/>
      <c r="D2" s="51"/>
    </row>
    <row r="3" spans="1:6" x14ac:dyDescent="0.2">
      <c r="A3" s="51"/>
      <c r="B3" s="51"/>
      <c r="C3" s="51"/>
      <c r="D3" s="51"/>
    </row>
    <row r="4" spans="1:6" x14ac:dyDescent="0.2">
      <c r="A4" s="51"/>
      <c r="B4" s="51"/>
      <c r="C4" s="51"/>
      <c r="D4" s="51"/>
    </row>
    <row r="5" spans="1:6" ht="13.5" thickBot="1" x14ac:dyDescent="0.25">
      <c r="A5" s="51"/>
      <c r="B5" s="51"/>
      <c r="C5" s="51"/>
      <c r="D5" s="51"/>
    </row>
    <row r="6" spans="1:6" ht="51.75" thickBot="1" x14ac:dyDescent="0.25">
      <c r="A6" s="52" t="s">
        <v>22</v>
      </c>
      <c r="B6" s="53" t="s">
        <v>23</v>
      </c>
      <c r="C6" s="54" t="s">
        <v>24</v>
      </c>
      <c r="D6" s="53" t="s">
        <v>25</v>
      </c>
      <c r="E6" s="100" t="s">
        <v>26</v>
      </c>
      <c r="F6" s="131" t="s">
        <v>437</v>
      </c>
    </row>
    <row r="7" spans="1:6" x14ac:dyDescent="0.2">
      <c r="A7" s="55"/>
      <c r="B7" s="56"/>
      <c r="C7" s="57"/>
      <c r="D7" s="56"/>
      <c r="E7" s="101"/>
      <c r="F7" s="129"/>
    </row>
    <row r="8" spans="1:6" ht="25.5" customHeight="1" x14ac:dyDescent="0.2">
      <c r="A8" s="224" t="s">
        <v>436</v>
      </c>
      <c r="B8" s="225"/>
      <c r="C8" s="225"/>
      <c r="D8" s="225"/>
      <c r="E8" s="226"/>
      <c r="F8" s="129" t="s">
        <v>239</v>
      </c>
    </row>
    <row r="9" spans="1:6" x14ac:dyDescent="0.2">
      <c r="A9" s="224"/>
      <c r="B9" s="227"/>
      <c r="C9" s="227"/>
      <c r="D9" s="227"/>
      <c r="E9" s="228"/>
      <c r="F9" s="129"/>
    </row>
    <row r="10" spans="1:6" x14ac:dyDescent="0.2">
      <c r="A10" s="58" t="s">
        <v>27</v>
      </c>
      <c r="B10" s="59"/>
      <c r="C10" s="59"/>
      <c r="D10" s="59"/>
      <c r="E10" s="102"/>
      <c r="F10" s="129" t="s">
        <v>240</v>
      </c>
    </row>
    <row r="11" spans="1:6" ht="38.25" x14ac:dyDescent="0.2">
      <c r="A11" s="60" t="s">
        <v>98</v>
      </c>
      <c r="B11" s="61" t="s">
        <v>129</v>
      </c>
      <c r="C11" s="62" t="s">
        <v>209</v>
      </c>
      <c r="D11" s="61" t="s">
        <v>31</v>
      </c>
      <c r="E11" s="103" t="s">
        <v>209</v>
      </c>
      <c r="F11" s="129" t="s">
        <v>241</v>
      </c>
    </row>
    <row r="12" spans="1:6" x14ac:dyDescent="0.2">
      <c r="A12" s="132" t="s">
        <v>486</v>
      </c>
      <c r="B12" s="71" t="s">
        <v>235</v>
      </c>
      <c r="C12" s="125">
        <v>2691</v>
      </c>
      <c r="D12" s="61" t="s">
        <v>34</v>
      </c>
      <c r="E12" s="127">
        <v>2691</v>
      </c>
      <c r="F12" s="129" t="s">
        <v>242</v>
      </c>
    </row>
    <row r="13" spans="1:6" ht="38.25" x14ac:dyDescent="0.2">
      <c r="A13" s="60" t="s">
        <v>28</v>
      </c>
      <c r="B13" s="61" t="s">
        <v>29</v>
      </c>
      <c r="C13" s="64">
        <v>100000</v>
      </c>
      <c r="D13" s="61" t="s">
        <v>149</v>
      </c>
      <c r="E13" s="104">
        <v>100000</v>
      </c>
      <c r="F13" s="129" t="s">
        <v>243</v>
      </c>
    </row>
    <row r="14" spans="1:6" ht="25.5" customHeight="1" x14ac:dyDescent="0.2">
      <c r="A14" s="149" t="s">
        <v>439</v>
      </c>
      <c r="B14" s="61" t="s">
        <v>30</v>
      </c>
      <c r="C14" s="63">
        <v>7</v>
      </c>
      <c r="D14" s="61" t="s">
        <v>31</v>
      </c>
      <c r="E14" s="105">
        <v>7</v>
      </c>
      <c r="F14" s="129" t="s">
        <v>244</v>
      </c>
    </row>
    <row r="15" spans="1:6" x14ac:dyDescent="0.2">
      <c r="A15" s="149" t="s">
        <v>151</v>
      </c>
      <c r="B15" s="61" t="s">
        <v>29</v>
      </c>
      <c r="C15" s="64">
        <v>1000</v>
      </c>
      <c r="D15" s="61" t="s">
        <v>31</v>
      </c>
      <c r="E15" s="104">
        <v>1000</v>
      </c>
      <c r="F15" s="129" t="s">
        <v>245</v>
      </c>
    </row>
    <row r="16" spans="1:6" x14ac:dyDescent="0.2">
      <c r="A16" s="149" t="s">
        <v>440</v>
      </c>
      <c r="B16" s="61" t="s">
        <v>30</v>
      </c>
      <c r="C16" s="63">
        <v>5</v>
      </c>
      <c r="D16" s="61" t="s">
        <v>31</v>
      </c>
      <c r="E16" s="105">
        <v>5</v>
      </c>
      <c r="F16" s="129" t="s">
        <v>246</v>
      </c>
    </row>
    <row r="17" spans="1:6" ht="25.5" x14ac:dyDescent="0.2">
      <c r="A17" s="149" t="s">
        <v>438</v>
      </c>
      <c r="B17" s="71" t="s">
        <v>236</v>
      </c>
      <c r="C17" s="125">
        <v>0.23</v>
      </c>
      <c r="D17" s="61" t="s">
        <v>31</v>
      </c>
      <c r="E17" s="127">
        <v>0.23</v>
      </c>
      <c r="F17" s="129" t="s">
        <v>247</v>
      </c>
    </row>
    <row r="18" spans="1:6" x14ac:dyDescent="0.2">
      <c r="A18" s="60" t="s">
        <v>32</v>
      </c>
      <c r="B18" s="61" t="s">
        <v>29</v>
      </c>
      <c r="C18" s="67">
        <v>5000</v>
      </c>
      <c r="D18" s="61" t="s">
        <v>31</v>
      </c>
      <c r="E18" s="106">
        <v>5000</v>
      </c>
      <c r="F18" s="129" t="s">
        <v>248</v>
      </c>
    </row>
    <row r="19" spans="1:6" ht="25.5" x14ac:dyDescent="0.2">
      <c r="A19" s="60" t="s">
        <v>233</v>
      </c>
      <c r="B19" s="61" t="s">
        <v>30</v>
      </c>
      <c r="C19" s="62">
        <v>7</v>
      </c>
      <c r="D19" s="61" t="s">
        <v>31</v>
      </c>
      <c r="E19" s="103">
        <v>7</v>
      </c>
      <c r="F19" s="129" t="s">
        <v>249</v>
      </c>
    </row>
    <row r="20" spans="1:6" x14ac:dyDescent="0.2">
      <c r="A20" s="60" t="s">
        <v>150</v>
      </c>
      <c r="B20" s="61" t="s">
        <v>29</v>
      </c>
      <c r="C20" s="67">
        <v>100</v>
      </c>
      <c r="D20" s="61" t="s">
        <v>31</v>
      </c>
      <c r="E20" s="106">
        <v>100</v>
      </c>
      <c r="F20" s="129" t="s">
        <v>250</v>
      </c>
    </row>
    <row r="21" spans="1:6" ht="25.5" x14ac:dyDescent="0.2">
      <c r="A21" s="60" t="s">
        <v>234</v>
      </c>
      <c r="B21" s="61" t="s">
        <v>30</v>
      </c>
      <c r="C21" s="62">
        <v>5</v>
      </c>
      <c r="D21" s="61" t="s">
        <v>31</v>
      </c>
      <c r="E21" s="103">
        <v>5</v>
      </c>
      <c r="F21" s="129" t="s">
        <v>251</v>
      </c>
    </row>
    <row r="22" spans="1:6" x14ac:dyDescent="0.2">
      <c r="A22" s="132" t="s">
        <v>533</v>
      </c>
      <c r="B22" s="71" t="s">
        <v>236</v>
      </c>
      <c r="C22" s="126">
        <v>9.2999999999999999E-2</v>
      </c>
      <c r="D22" s="61" t="s">
        <v>31</v>
      </c>
      <c r="E22" s="128">
        <v>9.2999999999999999E-2</v>
      </c>
      <c r="F22" s="129" t="s">
        <v>252</v>
      </c>
    </row>
    <row r="23" spans="1:6" ht="25.5" customHeight="1" x14ac:dyDescent="0.2">
      <c r="A23" s="224" t="s">
        <v>423</v>
      </c>
      <c r="B23" s="225"/>
      <c r="C23" s="225"/>
      <c r="D23" s="225"/>
      <c r="E23" s="226"/>
      <c r="F23" s="129" t="s">
        <v>253</v>
      </c>
    </row>
    <row r="24" spans="1:6" x14ac:dyDescent="0.2">
      <c r="A24" s="224"/>
      <c r="B24" s="225"/>
      <c r="C24" s="225"/>
      <c r="D24" s="225"/>
      <c r="E24" s="226"/>
      <c r="F24" s="129"/>
    </row>
    <row r="25" spans="1:6" x14ac:dyDescent="0.2">
      <c r="A25" s="69" t="s">
        <v>370</v>
      </c>
      <c r="B25" s="59"/>
      <c r="C25" s="59"/>
      <c r="D25" s="59"/>
      <c r="E25" s="102"/>
      <c r="F25" s="129" t="s">
        <v>254</v>
      </c>
    </row>
    <row r="26" spans="1:6" ht="25.5" x14ac:dyDescent="0.2">
      <c r="A26" s="60" t="s">
        <v>371</v>
      </c>
      <c r="B26" s="150" t="s">
        <v>441</v>
      </c>
      <c r="C26" s="65">
        <v>33</v>
      </c>
      <c r="D26" s="61" t="s">
        <v>35</v>
      </c>
      <c r="E26" s="103">
        <v>33</v>
      </c>
      <c r="F26" s="129" t="s">
        <v>255</v>
      </c>
    </row>
    <row r="27" spans="1:6" x14ac:dyDescent="0.2">
      <c r="A27" s="58" t="s">
        <v>37</v>
      </c>
      <c r="B27" s="59"/>
      <c r="C27" s="66"/>
      <c r="D27" s="59"/>
      <c r="E27" s="107"/>
      <c r="F27" s="129" t="s">
        <v>256</v>
      </c>
    </row>
    <row r="28" spans="1:6" x14ac:dyDescent="0.2">
      <c r="A28" s="132" t="s">
        <v>372</v>
      </c>
      <c r="B28" s="61" t="s">
        <v>38</v>
      </c>
      <c r="C28" s="67">
        <v>1422</v>
      </c>
      <c r="D28" s="61" t="s">
        <v>33</v>
      </c>
      <c r="E28" s="106">
        <v>1422</v>
      </c>
      <c r="F28" s="129" t="s">
        <v>257</v>
      </c>
    </row>
    <row r="29" spans="1:6" x14ac:dyDescent="0.2">
      <c r="A29" s="132" t="s">
        <v>373</v>
      </c>
      <c r="B29" s="61" t="s">
        <v>38</v>
      </c>
      <c r="C29" s="67">
        <v>2244</v>
      </c>
      <c r="D29" s="61" t="s">
        <v>33</v>
      </c>
      <c r="E29" s="106">
        <v>2244</v>
      </c>
      <c r="F29" s="129" t="s">
        <v>258</v>
      </c>
    </row>
    <row r="30" spans="1:6" x14ac:dyDescent="0.2">
      <c r="A30" s="60" t="s">
        <v>64</v>
      </c>
      <c r="B30" s="61" t="s">
        <v>38</v>
      </c>
      <c r="C30" s="83">
        <v>500</v>
      </c>
      <c r="D30" s="61" t="s">
        <v>33</v>
      </c>
      <c r="E30" s="108">
        <v>500</v>
      </c>
      <c r="F30" s="129" t="s">
        <v>259</v>
      </c>
    </row>
    <row r="31" spans="1:6" x14ac:dyDescent="0.2">
      <c r="A31" s="132" t="s">
        <v>442</v>
      </c>
      <c r="B31" s="61" t="s">
        <v>39</v>
      </c>
      <c r="C31" s="152">
        <v>8760</v>
      </c>
      <c r="D31" s="139"/>
      <c r="E31" s="151">
        <v>8760</v>
      </c>
      <c r="F31" s="129" t="s">
        <v>260</v>
      </c>
    </row>
    <row r="32" spans="1:6" x14ac:dyDescent="0.2">
      <c r="A32" s="132" t="s">
        <v>40</v>
      </c>
      <c r="B32" s="61" t="s">
        <v>36</v>
      </c>
      <c r="C32" s="68">
        <v>0.03</v>
      </c>
      <c r="D32" s="61" t="s">
        <v>33</v>
      </c>
      <c r="E32" s="109">
        <v>0.03</v>
      </c>
      <c r="F32" s="129" t="s">
        <v>261</v>
      </c>
    </row>
    <row r="33" spans="1:6" x14ac:dyDescent="0.2">
      <c r="A33" s="132" t="s">
        <v>108</v>
      </c>
      <c r="B33" s="61" t="s">
        <v>41</v>
      </c>
      <c r="C33" s="85">
        <v>111000</v>
      </c>
      <c r="D33" s="61" t="s">
        <v>33</v>
      </c>
      <c r="E33" s="110">
        <v>111000</v>
      </c>
      <c r="F33" s="129" t="s">
        <v>262</v>
      </c>
    </row>
    <row r="34" spans="1:6" x14ac:dyDescent="0.2">
      <c r="A34" s="132" t="s">
        <v>109</v>
      </c>
      <c r="B34" s="61" t="s">
        <v>41</v>
      </c>
      <c r="C34" s="85">
        <v>111000</v>
      </c>
      <c r="D34" s="61" t="s">
        <v>110</v>
      </c>
      <c r="E34" s="110">
        <v>111000</v>
      </c>
      <c r="F34" s="129" t="s">
        <v>263</v>
      </c>
    </row>
    <row r="35" spans="1:6" x14ac:dyDescent="0.2">
      <c r="A35" s="132" t="s">
        <v>42</v>
      </c>
      <c r="B35" s="61" t="s">
        <v>41</v>
      </c>
      <c r="C35" s="85">
        <v>111000</v>
      </c>
      <c r="D35" s="61" t="s">
        <v>33</v>
      </c>
      <c r="E35" s="110">
        <v>111000</v>
      </c>
      <c r="F35" s="129" t="s">
        <v>264</v>
      </c>
    </row>
    <row r="36" spans="1:6" x14ac:dyDescent="0.2">
      <c r="A36" s="132" t="s">
        <v>43</v>
      </c>
      <c r="B36" s="61" t="s">
        <v>44</v>
      </c>
      <c r="C36" s="85">
        <v>25</v>
      </c>
      <c r="D36" s="61" t="s">
        <v>33</v>
      </c>
      <c r="E36" s="110">
        <v>25</v>
      </c>
      <c r="F36" s="129" t="s">
        <v>265</v>
      </c>
    </row>
    <row r="37" spans="1:6" x14ac:dyDescent="0.2">
      <c r="A37" s="132" t="s">
        <v>45</v>
      </c>
      <c r="B37" s="61" t="s">
        <v>44</v>
      </c>
      <c r="C37" s="85">
        <v>35</v>
      </c>
      <c r="D37" s="61" t="s">
        <v>33</v>
      </c>
      <c r="E37" s="110">
        <v>35</v>
      </c>
      <c r="F37" s="129" t="s">
        <v>266</v>
      </c>
    </row>
    <row r="38" spans="1:6" x14ac:dyDescent="0.2">
      <c r="A38" s="132" t="s">
        <v>157</v>
      </c>
      <c r="B38" s="61" t="s">
        <v>44</v>
      </c>
      <c r="C38" s="85">
        <v>175</v>
      </c>
      <c r="D38" s="61" t="s">
        <v>100</v>
      </c>
      <c r="E38" s="110">
        <v>175</v>
      </c>
      <c r="F38" s="129" t="s">
        <v>267</v>
      </c>
    </row>
    <row r="39" spans="1:6" x14ac:dyDescent="0.2">
      <c r="A39" s="132" t="s">
        <v>156</v>
      </c>
      <c r="B39" s="61" t="s">
        <v>44</v>
      </c>
      <c r="C39" s="85">
        <v>45</v>
      </c>
      <c r="D39" s="61" t="s">
        <v>100</v>
      </c>
      <c r="E39" s="110">
        <v>45</v>
      </c>
      <c r="F39" s="129" t="s">
        <v>268</v>
      </c>
    </row>
    <row r="40" spans="1:6" x14ac:dyDescent="0.2">
      <c r="A40" s="132" t="s">
        <v>169</v>
      </c>
      <c r="B40" s="71" t="s">
        <v>237</v>
      </c>
      <c r="C40" s="83">
        <v>0.1</v>
      </c>
      <c r="D40" s="61" t="s">
        <v>189</v>
      </c>
      <c r="E40" s="108">
        <v>0.1</v>
      </c>
      <c r="F40" s="129" t="s">
        <v>269</v>
      </c>
    </row>
    <row r="41" spans="1:6" x14ac:dyDescent="0.2">
      <c r="A41" s="132" t="s">
        <v>443</v>
      </c>
      <c r="B41" s="61" t="s">
        <v>46</v>
      </c>
      <c r="C41" s="83">
        <v>1</v>
      </c>
      <c r="D41" s="61" t="s">
        <v>31</v>
      </c>
      <c r="E41" s="108">
        <v>1</v>
      </c>
      <c r="F41" s="129" t="s">
        <v>270</v>
      </c>
    </row>
    <row r="42" spans="1:6" x14ac:dyDescent="0.2">
      <c r="A42" s="60" t="s">
        <v>170</v>
      </c>
      <c r="B42" s="61" t="s">
        <v>46</v>
      </c>
      <c r="C42" s="83">
        <v>1</v>
      </c>
      <c r="D42" s="61" t="s">
        <v>31</v>
      </c>
      <c r="E42" s="108">
        <v>1</v>
      </c>
      <c r="F42" s="129" t="s">
        <v>271</v>
      </c>
    </row>
    <row r="43" spans="1:6" x14ac:dyDescent="0.2">
      <c r="A43" s="60" t="s">
        <v>58</v>
      </c>
      <c r="B43" s="61" t="s">
        <v>46</v>
      </c>
      <c r="C43" s="83">
        <v>1</v>
      </c>
      <c r="D43" s="61" t="s">
        <v>31</v>
      </c>
      <c r="E43" s="108">
        <v>1</v>
      </c>
      <c r="F43" s="129" t="s">
        <v>272</v>
      </c>
    </row>
    <row r="44" spans="1:6" x14ac:dyDescent="0.2">
      <c r="A44" s="60" t="s">
        <v>163</v>
      </c>
      <c r="B44" s="61" t="s">
        <v>46</v>
      </c>
      <c r="C44" s="83">
        <v>1</v>
      </c>
      <c r="D44" s="61" t="s">
        <v>31</v>
      </c>
      <c r="E44" s="108">
        <v>1</v>
      </c>
      <c r="F44" s="129" t="s">
        <v>273</v>
      </c>
    </row>
    <row r="45" spans="1:6" ht="25.5" customHeight="1" x14ac:dyDescent="0.2">
      <c r="A45" s="224" t="s">
        <v>422</v>
      </c>
      <c r="B45" s="225"/>
      <c r="C45" s="225"/>
      <c r="D45" s="225"/>
      <c r="E45" s="226"/>
      <c r="F45" s="129" t="s">
        <v>274</v>
      </c>
    </row>
    <row r="46" spans="1:6" x14ac:dyDescent="0.2">
      <c r="A46" s="224"/>
      <c r="B46" s="225"/>
      <c r="C46" s="225"/>
      <c r="D46" s="225"/>
      <c r="E46" s="226"/>
      <c r="F46" s="129"/>
    </row>
    <row r="47" spans="1:6" ht="38.25" x14ac:dyDescent="0.2">
      <c r="A47" s="58" t="s">
        <v>532</v>
      </c>
      <c r="B47" s="59"/>
      <c r="C47" s="59"/>
      <c r="D47" s="59"/>
      <c r="E47" s="102"/>
      <c r="F47" s="129" t="s">
        <v>275</v>
      </c>
    </row>
    <row r="48" spans="1:6" x14ac:dyDescent="0.2">
      <c r="A48" s="70" t="s">
        <v>53</v>
      </c>
      <c r="B48" s="71" t="s">
        <v>127</v>
      </c>
      <c r="C48" s="82">
        <v>8</v>
      </c>
      <c r="D48" s="61" t="s">
        <v>31</v>
      </c>
      <c r="E48" s="111">
        <v>8</v>
      </c>
      <c r="F48" s="129" t="s">
        <v>276</v>
      </c>
    </row>
    <row r="49" spans="1:6" x14ac:dyDescent="0.2">
      <c r="A49" s="70" t="s">
        <v>198</v>
      </c>
      <c r="B49" s="71" t="s">
        <v>44</v>
      </c>
      <c r="C49" s="90">
        <v>200</v>
      </c>
      <c r="D49" s="61" t="s">
        <v>31</v>
      </c>
      <c r="E49" s="112">
        <v>200</v>
      </c>
      <c r="F49" s="129" t="s">
        <v>277</v>
      </c>
    </row>
    <row r="50" spans="1:6" x14ac:dyDescent="0.2">
      <c r="A50" s="70" t="s">
        <v>122</v>
      </c>
      <c r="B50" s="71" t="s">
        <v>121</v>
      </c>
      <c r="C50" s="82">
        <v>2</v>
      </c>
      <c r="D50" s="61" t="s">
        <v>31</v>
      </c>
      <c r="E50" s="111">
        <v>2</v>
      </c>
      <c r="F50" s="129" t="s">
        <v>278</v>
      </c>
    </row>
    <row r="51" spans="1:6" x14ac:dyDescent="0.2">
      <c r="A51" s="70" t="s">
        <v>123</v>
      </c>
      <c r="B51" s="71" t="s">
        <v>121</v>
      </c>
      <c r="C51" s="82">
        <v>2</v>
      </c>
      <c r="D51" s="61" t="s">
        <v>31</v>
      </c>
      <c r="E51" s="111">
        <v>2</v>
      </c>
      <c r="F51" s="129" t="s">
        <v>279</v>
      </c>
    </row>
    <row r="52" spans="1:6" x14ac:dyDescent="0.2">
      <c r="A52" s="70" t="s">
        <v>124</v>
      </c>
      <c r="B52" s="71" t="s">
        <v>121</v>
      </c>
      <c r="C52" s="82">
        <v>2</v>
      </c>
      <c r="D52" s="61" t="s">
        <v>31</v>
      </c>
      <c r="E52" s="111">
        <v>2</v>
      </c>
      <c r="F52" s="129" t="s">
        <v>280</v>
      </c>
    </row>
    <row r="53" spans="1:6" x14ac:dyDescent="0.2">
      <c r="A53" s="70" t="s">
        <v>125</v>
      </c>
      <c r="B53" s="71" t="s">
        <v>121</v>
      </c>
      <c r="C53" s="82">
        <v>6</v>
      </c>
      <c r="D53" s="61" t="s">
        <v>31</v>
      </c>
      <c r="E53" s="111">
        <v>6</v>
      </c>
      <c r="F53" s="129" t="s">
        <v>281</v>
      </c>
    </row>
    <row r="54" spans="1:6" x14ac:dyDescent="0.2">
      <c r="A54" s="70" t="s">
        <v>126</v>
      </c>
      <c r="B54" s="71" t="s">
        <v>121</v>
      </c>
      <c r="C54" s="82">
        <v>6</v>
      </c>
      <c r="D54" s="61" t="s">
        <v>31</v>
      </c>
      <c r="E54" s="111">
        <v>6</v>
      </c>
      <c r="F54" s="129" t="s">
        <v>282</v>
      </c>
    </row>
    <row r="55" spans="1:6" x14ac:dyDescent="0.2">
      <c r="A55" s="70" t="s">
        <v>444</v>
      </c>
      <c r="B55" s="71" t="s">
        <v>29</v>
      </c>
      <c r="C55" s="80">
        <v>2000</v>
      </c>
      <c r="D55" s="61" t="s">
        <v>31</v>
      </c>
      <c r="E55" s="106">
        <v>2000</v>
      </c>
      <c r="F55" s="129" t="s">
        <v>283</v>
      </c>
    </row>
    <row r="56" spans="1:6" x14ac:dyDescent="0.2">
      <c r="A56" s="69" t="s">
        <v>184</v>
      </c>
      <c r="B56" s="59"/>
      <c r="C56" s="59"/>
      <c r="D56" s="59"/>
      <c r="E56" s="102"/>
      <c r="F56" s="129" t="s">
        <v>284</v>
      </c>
    </row>
    <row r="57" spans="1:6" x14ac:dyDescent="0.2">
      <c r="A57" s="72" t="s">
        <v>128</v>
      </c>
      <c r="B57" s="71" t="s">
        <v>29</v>
      </c>
      <c r="C57" s="81">
        <v>30000</v>
      </c>
      <c r="D57" s="61" t="s">
        <v>31</v>
      </c>
      <c r="E57" s="113">
        <v>30000</v>
      </c>
      <c r="F57" s="129" t="s">
        <v>285</v>
      </c>
    </row>
    <row r="58" spans="1:6" x14ac:dyDescent="0.2">
      <c r="A58" s="70" t="s">
        <v>111</v>
      </c>
      <c r="B58" s="71" t="s">
        <v>50</v>
      </c>
      <c r="C58" s="82">
        <v>200</v>
      </c>
      <c r="D58" s="61" t="s">
        <v>31</v>
      </c>
      <c r="E58" s="111">
        <v>200</v>
      </c>
      <c r="F58" s="129" t="s">
        <v>286</v>
      </c>
    </row>
    <row r="59" spans="1:6" x14ac:dyDescent="0.2">
      <c r="A59" s="70" t="s">
        <v>112</v>
      </c>
      <c r="B59" s="71" t="s">
        <v>50</v>
      </c>
      <c r="C59" s="82">
        <v>2</v>
      </c>
      <c r="D59" s="61" t="s">
        <v>31</v>
      </c>
      <c r="E59" s="111">
        <v>2</v>
      </c>
      <c r="F59" s="129" t="s">
        <v>287</v>
      </c>
    </row>
    <row r="60" spans="1:6" x14ac:dyDescent="0.2">
      <c r="A60" s="73" t="s">
        <v>104</v>
      </c>
      <c r="B60" s="74" t="s">
        <v>50</v>
      </c>
      <c r="C60" s="82">
        <v>2</v>
      </c>
      <c r="D60" s="61" t="s">
        <v>31</v>
      </c>
      <c r="E60" s="111">
        <v>2</v>
      </c>
      <c r="F60" s="129" t="s">
        <v>288</v>
      </c>
    </row>
    <row r="61" spans="1:6" x14ac:dyDescent="0.2">
      <c r="A61" s="70" t="s">
        <v>105</v>
      </c>
      <c r="B61" s="71" t="s">
        <v>50</v>
      </c>
      <c r="C61" s="82">
        <v>2</v>
      </c>
      <c r="D61" s="61" t="s">
        <v>31</v>
      </c>
      <c r="E61" s="111">
        <v>2</v>
      </c>
      <c r="F61" s="129" t="s">
        <v>289</v>
      </c>
    </row>
    <row r="62" spans="1:6" x14ac:dyDescent="0.2">
      <c r="A62" s="70" t="s">
        <v>106</v>
      </c>
      <c r="B62" s="71" t="s">
        <v>50</v>
      </c>
      <c r="C62" s="82">
        <v>6</v>
      </c>
      <c r="D62" s="61" t="s">
        <v>31</v>
      </c>
      <c r="E62" s="111">
        <v>6</v>
      </c>
      <c r="F62" s="129" t="s">
        <v>290</v>
      </c>
    </row>
    <row r="63" spans="1:6" x14ac:dyDescent="0.2">
      <c r="A63" s="70" t="s">
        <v>103</v>
      </c>
      <c r="B63" s="71" t="s">
        <v>50</v>
      </c>
      <c r="C63" s="82">
        <v>6</v>
      </c>
      <c r="D63" s="61" t="s">
        <v>31</v>
      </c>
      <c r="E63" s="111">
        <v>6</v>
      </c>
      <c r="F63" s="129" t="s">
        <v>291</v>
      </c>
    </row>
    <row r="64" spans="1:6" x14ac:dyDescent="0.2">
      <c r="A64" s="70" t="s">
        <v>158</v>
      </c>
      <c r="B64" s="71" t="s">
        <v>50</v>
      </c>
      <c r="C64" s="82">
        <v>6</v>
      </c>
      <c r="D64" s="61" t="s">
        <v>31</v>
      </c>
      <c r="E64" s="111">
        <v>6</v>
      </c>
      <c r="F64" s="129" t="s">
        <v>292</v>
      </c>
    </row>
    <row r="65" spans="1:6" x14ac:dyDescent="0.2">
      <c r="A65" s="69" t="s">
        <v>185</v>
      </c>
      <c r="B65" s="59"/>
      <c r="C65" s="66"/>
      <c r="D65" s="59"/>
      <c r="E65" s="107"/>
      <c r="F65" s="129" t="s">
        <v>293</v>
      </c>
    </row>
    <row r="66" spans="1:6" x14ac:dyDescent="0.2">
      <c r="A66" s="60" t="s">
        <v>113</v>
      </c>
      <c r="B66" s="61" t="s">
        <v>50</v>
      </c>
      <c r="C66" s="82">
        <v>40</v>
      </c>
      <c r="D66" s="61" t="s">
        <v>31</v>
      </c>
      <c r="E66" s="111">
        <v>40</v>
      </c>
      <c r="F66" s="129" t="s">
        <v>294</v>
      </c>
    </row>
    <row r="67" spans="1:6" x14ac:dyDescent="0.2">
      <c r="A67" s="60" t="s">
        <v>114</v>
      </c>
      <c r="B67" s="61" t="s">
        <v>50</v>
      </c>
      <c r="C67" s="82">
        <v>40</v>
      </c>
      <c r="D67" s="61" t="s">
        <v>110</v>
      </c>
      <c r="E67" s="111">
        <v>40</v>
      </c>
      <c r="F67" s="129" t="s">
        <v>295</v>
      </c>
    </row>
    <row r="68" spans="1:6" x14ac:dyDescent="0.2">
      <c r="A68" s="73" t="s">
        <v>107</v>
      </c>
      <c r="B68" s="74" t="s">
        <v>50</v>
      </c>
      <c r="C68" s="82">
        <v>2</v>
      </c>
      <c r="D68" s="61" t="s">
        <v>31</v>
      </c>
      <c r="E68" s="111">
        <v>2</v>
      </c>
      <c r="F68" s="129" t="s">
        <v>296</v>
      </c>
    </row>
    <row r="69" spans="1:6" x14ac:dyDescent="0.2">
      <c r="A69" s="60" t="s">
        <v>56</v>
      </c>
      <c r="B69" s="61" t="s">
        <v>50</v>
      </c>
      <c r="C69" s="82">
        <v>2</v>
      </c>
      <c r="D69" s="61" t="s">
        <v>31</v>
      </c>
      <c r="E69" s="111">
        <v>2</v>
      </c>
      <c r="F69" s="129" t="s">
        <v>297</v>
      </c>
    </row>
    <row r="70" spans="1:6" x14ac:dyDescent="0.2">
      <c r="A70" s="60" t="s">
        <v>154</v>
      </c>
      <c r="B70" s="61" t="s">
        <v>50</v>
      </c>
      <c r="C70" s="82">
        <v>2</v>
      </c>
      <c r="D70" s="61" t="s">
        <v>31</v>
      </c>
      <c r="E70" s="111">
        <v>2</v>
      </c>
      <c r="F70" s="129" t="s">
        <v>298</v>
      </c>
    </row>
    <row r="71" spans="1:6" x14ac:dyDescent="0.2">
      <c r="A71" s="70" t="s">
        <v>101</v>
      </c>
      <c r="B71" s="71" t="s">
        <v>50</v>
      </c>
      <c r="C71" s="82">
        <v>6</v>
      </c>
      <c r="D71" s="71" t="s">
        <v>100</v>
      </c>
      <c r="E71" s="111">
        <v>6</v>
      </c>
      <c r="F71" s="129" t="s">
        <v>299</v>
      </c>
    </row>
    <row r="72" spans="1:6" x14ac:dyDescent="0.2">
      <c r="A72" s="70" t="s">
        <v>160</v>
      </c>
      <c r="B72" s="71" t="s">
        <v>50</v>
      </c>
      <c r="C72" s="82">
        <v>6</v>
      </c>
      <c r="D72" s="71" t="s">
        <v>100</v>
      </c>
      <c r="E72" s="111">
        <v>6</v>
      </c>
      <c r="F72" s="129" t="s">
        <v>300</v>
      </c>
    </row>
    <row r="73" spans="1:6" x14ac:dyDescent="0.2">
      <c r="A73" s="132" t="s">
        <v>445</v>
      </c>
      <c r="B73" s="61" t="s">
        <v>29</v>
      </c>
      <c r="C73" s="81">
        <v>2000</v>
      </c>
      <c r="D73" s="61" t="s">
        <v>31</v>
      </c>
      <c r="E73" s="113">
        <v>2000</v>
      </c>
      <c r="F73" s="129" t="s">
        <v>301</v>
      </c>
    </row>
    <row r="74" spans="1:6" ht="25.5" customHeight="1" x14ac:dyDescent="0.2">
      <c r="A74" s="224" t="s">
        <v>424</v>
      </c>
      <c r="B74" s="225"/>
      <c r="C74" s="225"/>
      <c r="D74" s="225"/>
      <c r="E74" s="226"/>
      <c r="F74" s="129" t="s">
        <v>302</v>
      </c>
    </row>
    <row r="75" spans="1:6" x14ac:dyDescent="0.2">
      <c r="A75" s="224"/>
      <c r="B75" s="225"/>
      <c r="C75" s="225"/>
      <c r="D75" s="225"/>
      <c r="E75" s="226"/>
      <c r="F75" s="129"/>
    </row>
    <row r="76" spans="1:6" x14ac:dyDescent="0.2">
      <c r="A76" s="69" t="s">
        <v>446</v>
      </c>
      <c r="B76" s="59"/>
      <c r="C76" s="59"/>
      <c r="D76" s="59"/>
      <c r="E76" s="102"/>
      <c r="F76" s="129" t="s">
        <v>303</v>
      </c>
    </row>
    <row r="77" spans="1:6" x14ac:dyDescent="0.2">
      <c r="A77" s="149" t="s">
        <v>57</v>
      </c>
      <c r="B77" s="153" t="s">
        <v>447</v>
      </c>
      <c r="C77" s="75">
        <v>1E-4</v>
      </c>
      <c r="D77" s="61" t="s">
        <v>31</v>
      </c>
      <c r="E77" s="114">
        <v>1E-4</v>
      </c>
      <c r="F77" s="129" t="s">
        <v>304</v>
      </c>
    </row>
    <row r="78" spans="1:6" x14ac:dyDescent="0.2">
      <c r="A78" s="149" t="s">
        <v>59</v>
      </c>
      <c r="B78" s="153" t="s">
        <v>447</v>
      </c>
      <c r="C78" s="75">
        <v>2.0000000000000001E-4</v>
      </c>
      <c r="D78" s="61" t="s">
        <v>31</v>
      </c>
      <c r="E78" s="114">
        <v>2.0000000000000001E-4</v>
      </c>
      <c r="F78" s="129" t="s">
        <v>305</v>
      </c>
    </row>
    <row r="79" spans="1:6" x14ac:dyDescent="0.2">
      <c r="A79" s="149" t="s">
        <v>139</v>
      </c>
      <c r="B79" s="153" t="s">
        <v>448</v>
      </c>
      <c r="C79" s="75">
        <v>9.9999999999999995E-7</v>
      </c>
      <c r="D79" s="61" t="s">
        <v>31</v>
      </c>
      <c r="E79" s="114">
        <v>9.9999999999999995E-7</v>
      </c>
      <c r="F79" s="129" t="s">
        <v>306</v>
      </c>
    </row>
    <row r="80" spans="1:6" x14ac:dyDescent="0.2">
      <c r="A80" s="149" t="s">
        <v>60</v>
      </c>
      <c r="B80" s="154" t="s">
        <v>449</v>
      </c>
      <c r="C80" s="141">
        <v>6.7000000000000004E-2</v>
      </c>
      <c r="D80" s="61" t="s">
        <v>31</v>
      </c>
      <c r="E80" s="142">
        <v>6.7000000000000004E-2</v>
      </c>
      <c r="F80" s="129" t="s">
        <v>307</v>
      </c>
    </row>
    <row r="81" spans="1:6" x14ac:dyDescent="0.2">
      <c r="A81" s="149" t="s">
        <v>450</v>
      </c>
      <c r="B81" s="153" t="s">
        <v>46</v>
      </c>
      <c r="C81" s="140">
        <v>0</v>
      </c>
      <c r="D81" s="61" t="s">
        <v>31</v>
      </c>
      <c r="E81" s="112">
        <v>0</v>
      </c>
      <c r="F81" s="129" t="s">
        <v>308</v>
      </c>
    </row>
    <row r="82" spans="1:6" x14ac:dyDescent="0.2">
      <c r="A82" s="60" t="s">
        <v>171</v>
      </c>
      <c r="B82" s="61" t="s">
        <v>46</v>
      </c>
      <c r="C82" s="140">
        <v>0</v>
      </c>
      <c r="D82" s="61" t="s">
        <v>31</v>
      </c>
      <c r="E82" s="112">
        <v>0</v>
      </c>
      <c r="F82" s="129" t="s">
        <v>309</v>
      </c>
    </row>
    <row r="83" spans="1:6" ht="25.5" x14ac:dyDescent="0.2">
      <c r="A83" s="69" t="s">
        <v>451</v>
      </c>
      <c r="B83" s="59"/>
      <c r="C83" s="66"/>
      <c r="D83" s="59"/>
      <c r="E83" s="107"/>
      <c r="F83" s="129" t="s">
        <v>310</v>
      </c>
    </row>
    <row r="84" spans="1:6" x14ac:dyDescent="0.2">
      <c r="A84" s="149" t="s">
        <v>452</v>
      </c>
      <c r="B84" s="61" t="s">
        <v>29</v>
      </c>
      <c r="C84" s="91">
        <v>1200</v>
      </c>
      <c r="D84" s="61" t="s">
        <v>31</v>
      </c>
      <c r="E84" s="113">
        <v>1200</v>
      </c>
      <c r="F84" s="129" t="s">
        <v>311</v>
      </c>
    </row>
    <row r="85" spans="1:6" x14ac:dyDescent="0.2">
      <c r="A85" s="149" t="s">
        <v>453</v>
      </c>
      <c r="B85" s="61" t="s">
        <v>30</v>
      </c>
      <c r="C85" s="84">
        <v>1</v>
      </c>
      <c r="D85" s="61" t="s">
        <v>31</v>
      </c>
      <c r="E85" s="111">
        <v>1</v>
      </c>
      <c r="F85" s="129" t="s">
        <v>312</v>
      </c>
    </row>
    <row r="86" spans="1:6" x14ac:dyDescent="0.2">
      <c r="A86" s="69" t="s">
        <v>186</v>
      </c>
      <c r="B86" s="59"/>
      <c r="C86" s="66"/>
      <c r="D86" s="59"/>
      <c r="E86" s="107"/>
      <c r="F86" s="129" t="s">
        <v>313</v>
      </c>
    </row>
    <row r="87" spans="1:6" x14ac:dyDescent="0.2">
      <c r="A87" s="60" t="s">
        <v>152</v>
      </c>
      <c r="B87" s="154" t="s">
        <v>454</v>
      </c>
      <c r="C87" s="62">
        <v>3.3E-3</v>
      </c>
      <c r="D87" s="61" t="s">
        <v>31</v>
      </c>
      <c r="E87" s="103">
        <v>3.3E-3</v>
      </c>
      <c r="F87" s="129" t="s">
        <v>314</v>
      </c>
    </row>
    <row r="88" spans="1:6" x14ac:dyDescent="0.2">
      <c r="A88" s="76" t="s">
        <v>187</v>
      </c>
      <c r="B88" s="77"/>
      <c r="C88" s="77"/>
      <c r="D88" s="77"/>
      <c r="E88" s="115"/>
      <c r="F88" s="129" t="s">
        <v>315</v>
      </c>
    </row>
    <row r="89" spans="1:6" x14ac:dyDescent="0.2">
      <c r="A89" s="60" t="s">
        <v>144</v>
      </c>
      <c r="B89" s="154" t="s">
        <v>454</v>
      </c>
      <c r="C89" s="84">
        <v>0</v>
      </c>
      <c r="D89" s="61" t="s">
        <v>31</v>
      </c>
      <c r="E89" s="111">
        <v>0</v>
      </c>
      <c r="F89" s="129" t="s">
        <v>316</v>
      </c>
    </row>
    <row r="90" spans="1:6" x14ac:dyDescent="0.2">
      <c r="A90" s="60" t="s">
        <v>145</v>
      </c>
      <c r="B90" s="154" t="s">
        <v>454</v>
      </c>
      <c r="C90" s="84">
        <v>0</v>
      </c>
      <c r="D90" s="61" t="s">
        <v>31</v>
      </c>
      <c r="E90" s="111">
        <v>0</v>
      </c>
      <c r="F90" s="129" t="s">
        <v>317</v>
      </c>
    </row>
    <row r="91" spans="1:6" x14ac:dyDescent="0.2">
      <c r="A91" s="60" t="s">
        <v>146</v>
      </c>
      <c r="B91" s="154" t="s">
        <v>454</v>
      </c>
      <c r="C91" s="84">
        <v>0</v>
      </c>
      <c r="D91" s="61" t="s">
        <v>31</v>
      </c>
      <c r="E91" s="111">
        <v>0</v>
      </c>
      <c r="F91" s="129" t="s">
        <v>318</v>
      </c>
    </row>
    <row r="92" spans="1:6" x14ac:dyDescent="0.2">
      <c r="A92" s="60" t="s">
        <v>153</v>
      </c>
      <c r="B92" s="154" t="s">
        <v>454</v>
      </c>
      <c r="C92" s="84">
        <v>0</v>
      </c>
      <c r="D92" s="61" t="s">
        <v>31</v>
      </c>
      <c r="E92" s="111">
        <v>0</v>
      </c>
      <c r="F92" s="129" t="s">
        <v>319</v>
      </c>
    </row>
    <row r="93" spans="1:6" x14ac:dyDescent="0.2">
      <c r="A93" s="60" t="s">
        <v>148</v>
      </c>
      <c r="B93" s="154" t="s">
        <v>454</v>
      </c>
      <c r="C93" s="84">
        <v>0</v>
      </c>
      <c r="D93" s="61" t="s">
        <v>31</v>
      </c>
      <c r="E93" s="111">
        <v>0</v>
      </c>
      <c r="F93" s="129" t="s">
        <v>320</v>
      </c>
    </row>
    <row r="94" spans="1:6" x14ac:dyDescent="0.2">
      <c r="A94" s="60" t="s">
        <v>155</v>
      </c>
      <c r="B94" s="154" t="s">
        <v>454</v>
      </c>
      <c r="C94" s="84">
        <v>0</v>
      </c>
      <c r="D94" s="61" t="s">
        <v>31</v>
      </c>
      <c r="E94" s="111">
        <v>0</v>
      </c>
      <c r="F94" s="129" t="s">
        <v>321</v>
      </c>
    </row>
    <row r="95" spans="1:6" x14ac:dyDescent="0.2">
      <c r="A95" s="69" t="s">
        <v>138</v>
      </c>
      <c r="B95" s="59"/>
      <c r="C95" s="66"/>
      <c r="D95" s="59"/>
      <c r="E95" s="107"/>
      <c r="F95" s="129" t="s">
        <v>322</v>
      </c>
    </row>
    <row r="96" spans="1:6" x14ac:dyDescent="0.2">
      <c r="A96" s="60" t="s">
        <v>165</v>
      </c>
      <c r="B96" s="71" t="s">
        <v>41</v>
      </c>
      <c r="C96" s="83">
        <v>500</v>
      </c>
      <c r="D96" s="61" t="s">
        <v>31</v>
      </c>
      <c r="E96" s="108">
        <v>500</v>
      </c>
      <c r="F96" s="129" t="s">
        <v>323</v>
      </c>
    </row>
    <row r="97" spans="1:6" x14ac:dyDescent="0.2">
      <c r="A97" s="60" t="s">
        <v>167</v>
      </c>
      <c r="B97" s="71" t="s">
        <v>41</v>
      </c>
      <c r="C97" s="83">
        <v>100</v>
      </c>
      <c r="D97" s="61" t="s">
        <v>31</v>
      </c>
      <c r="E97" s="108">
        <v>100</v>
      </c>
      <c r="F97" s="129" t="s">
        <v>324</v>
      </c>
    </row>
    <row r="98" spans="1:6" ht="25.5" customHeight="1" x14ac:dyDescent="0.2">
      <c r="A98" s="229" t="s">
        <v>531</v>
      </c>
      <c r="B98" s="227"/>
      <c r="C98" s="227"/>
      <c r="D98" s="227"/>
      <c r="E98" s="228"/>
      <c r="F98" s="129" t="s">
        <v>325</v>
      </c>
    </row>
    <row r="99" spans="1:6" x14ac:dyDescent="0.2">
      <c r="A99" s="224"/>
      <c r="B99" s="225"/>
      <c r="C99" s="225"/>
      <c r="D99" s="225"/>
      <c r="E99" s="226"/>
      <c r="F99" s="129"/>
    </row>
    <row r="100" spans="1:6" x14ac:dyDescent="0.2">
      <c r="A100" s="58" t="s">
        <v>47</v>
      </c>
      <c r="B100" s="59"/>
      <c r="C100" s="59"/>
      <c r="D100" s="59"/>
      <c r="E100" s="102"/>
      <c r="F100" s="129" t="s">
        <v>326</v>
      </c>
    </row>
    <row r="101" spans="1:6" x14ac:dyDescent="0.2">
      <c r="A101" s="149" t="s">
        <v>48</v>
      </c>
      <c r="B101" s="153" t="s">
        <v>49</v>
      </c>
      <c r="C101" s="155">
        <v>0</v>
      </c>
      <c r="D101" s="153" t="s">
        <v>31</v>
      </c>
      <c r="E101" s="156">
        <v>0</v>
      </c>
      <c r="F101" s="157" t="s">
        <v>327</v>
      </c>
    </row>
    <row r="102" spans="1:6" x14ac:dyDescent="0.2">
      <c r="A102" s="149" t="s">
        <v>458</v>
      </c>
      <c r="B102" s="153" t="s">
        <v>50</v>
      </c>
      <c r="C102" s="158">
        <v>4200</v>
      </c>
      <c r="D102" s="159" t="s">
        <v>31</v>
      </c>
      <c r="E102" s="160">
        <v>4200</v>
      </c>
      <c r="F102" s="157" t="s">
        <v>411</v>
      </c>
    </row>
    <row r="103" spans="1:6" x14ac:dyDescent="0.2">
      <c r="A103" s="149" t="s">
        <v>51</v>
      </c>
      <c r="B103" s="153" t="s">
        <v>50</v>
      </c>
      <c r="C103" s="155">
        <v>0.33</v>
      </c>
      <c r="D103" s="153" t="s">
        <v>52</v>
      </c>
      <c r="E103" s="156">
        <v>0.33</v>
      </c>
      <c r="F103" s="157" t="s">
        <v>328</v>
      </c>
    </row>
    <row r="104" spans="1:6" x14ac:dyDescent="0.2">
      <c r="A104" s="149" t="s">
        <v>459</v>
      </c>
      <c r="B104" s="153" t="s">
        <v>50</v>
      </c>
      <c r="C104" s="155">
        <v>7</v>
      </c>
      <c r="D104" s="153" t="s">
        <v>52</v>
      </c>
      <c r="E104" s="156">
        <v>7</v>
      </c>
      <c r="F104" s="157" t="s">
        <v>329</v>
      </c>
    </row>
    <row r="105" spans="1:6" x14ac:dyDescent="0.2">
      <c r="A105" s="149" t="s">
        <v>460</v>
      </c>
      <c r="B105" s="153" t="s">
        <v>50</v>
      </c>
      <c r="C105" s="155">
        <v>0.25</v>
      </c>
      <c r="D105" s="153" t="s">
        <v>52</v>
      </c>
      <c r="E105" s="156">
        <v>0.25</v>
      </c>
      <c r="F105" s="157" t="s">
        <v>330</v>
      </c>
    </row>
    <row r="106" spans="1:6" x14ac:dyDescent="0.2">
      <c r="A106" s="149" t="s">
        <v>456</v>
      </c>
      <c r="B106" s="153" t="s">
        <v>50</v>
      </c>
      <c r="C106" s="155">
        <v>1.25</v>
      </c>
      <c r="D106" s="153" t="s">
        <v>52</v>
      </c>
      <c r="E106" s="156">
        <v>1.25</v>
      </c>
      <c r="F106" s="157" t="s">
        <v>331</v>
      </c>
    </row>
    <row r="107" spans="1:6" x14ac:dyDescent="0.2">
      <c r="A107" s="149" t="s">
        <v>457</v>
      </c>
      <c r="B107" s="153" t="s">
        <v>49</v>
      </c>
      <c r="C107" s="155">
        <v>0</v>
      </c>
      <c r="D107" s="153" t="s">
        <v>31</v>
      </c>
      <c r="E107" s="156">
        <v>0</v>
      </c>
      <c r="F107" s="157" t="s">
        <v>421</v>
      </c>
    </row>
    <row r="108" spans="1:6" x14ac:dyDescent="0.2">
      <c r="A108" s="149" t="s">
        <v>374</v>
      </c>
      <c r="B108" s="153" t="s">
        <v>49</v>
      </c>
      <c r="C108" s="155">
        <v>0</v>
      </c>
      <c r="D108" s="153" t="s">
        <v>31</v>
      </c>
      <c r="E108" s="156">
        <v>0</v>
      </c>
      <c r="F108" s="157" t="s">
        <v>332</v>
      </c>
    </row>
    <row r="109" spans="1:6" x14ac:dyDescent="0.2">
      <c r="A109" s="149" t="s">
        <v>455</v>
      </c>
      <c r="B109" s="153" t="s">
        <v>49</v>
      </c>
      <c r="C109" s="155">
        <v>2</v>
      </c>
      <c r="D109" s="153" t="s">
        <v>31</v>
      </c>
      <c r="E109" s="156">
        <v>2</v>
      </c>
      <c r="F109" s="157" t="s">
        <v>333</v>
      </c>
    </row>
    <row r="110" spans="1:6" x14ac:dyDescent="0.2">
      <c r="A110" s="58" t="s">
        <v>461</v>
      </c>
      <c r="B110" s="59"/>
      <c r="C110" s="59"/>
      <c r="D110" s="59"/>
      <c r="E110" s="102"/>
      <c r="F110" s="129" t="s">
        <v>334</v>
      </c>
    </row>
    <row r="111" spans="1:6" x14ac:dyDescent="0.2">
      <c r="A111" s="161" t="s">
        <v>61</v>
      </c>
      <c r="B111" s="71" t="s">
        <v>41</v>
      </c>
      <c r="C111" s="94">
        <v>0</v>
      </c>
      <c r="D111" s="71" t="s">
        <v>62</v>
      </c>
      <c r="E111" s="118">
        <v>0</v>
      </c>
      <c r="F111" s="129" t="s">
        <v>335</v>
      </c>
    </row>
    <row r="112" spans="1:6" ht="38.25" x14ac:dyDescent="0.2">
      <c r="A112" s="161" t="s">
        <v>462</v>
      </c>
      <c r="B112" s="71" t="s">
        <v>41</v>
      </c>
      <c r="C112" s="92">
        <v>3800</v>
      </c>
      <c r="D112" s="71" t="s">
        <v>173</v>
      </c>
      <c r="E112" s="117">
        <v>3800</v>
      </c>
      <c r="F112" s="129" t="s">
        <v>336</v>
      </c>
    </row>
    <row r="113" spans="1:6" ht="25.5" x14ac:dyDescent="0.2">
      <c r="A113" s="78" t="s">
        <v>143</v>
      </c>
      <c r="B113" s="71" t="s">
        <v>172</v>
      </c>
      <c r="C113" s="93">
        <v>5</v>
      </c>
      <c r="D113" s="71" t="s">
        <v>174</v>
      </c>
      <c r="E113" s="119">
        <v>5</v>
      </c>
      <c r="F113" s="129" t="s">
        <v>337</v>
      </c>
    </row>
    <row r="114" spans="1:6" ht="25.5" x14ac:dyDescent="0.2">
      <c r="A114" s="60" t="s">
        <v>63</v>
      </c>
      <c r="B114" s="71" t="s">
        <v>238</v>
      </c>
      <c r="C114" s="86">
        <v>1000</v>
      </c>
      <c r="D114" s="133"/>
      <c r="E114" s="117">
        <v>1000</v>
      </c>
      <c r="F114" s="129" t="s">
        <v>338</v>
      </c>
    </row>
    <row r="115" spans="1:6" x14ac:dyDescent="0.2">
      <c r="A115" s="58" t="s">
        <v>516</v>
      </c>
      <c r="B115" s="59"/>
      <c r="C115" s="59"/>
      <c r="D115" s="59"/>
      <c r="E115" s="102"/>
      <c r="F115" s="129" t="s">
        <v>339</v>
      </c>
    </row>
    <row r="116" spans="1:6" x14ac:dyDescent="0.2">
      <c r="A116" s="73" t="s">
        <v>175</v>
      </c>
      <c r="B116" s="74" t="s">
        <v>176</v>
      </c>
      <c r="C116" s="96">
        <v>1</v>
      </c>
      <c r="D116" s="61" t="s">
        <v>31</v>
      </c>
      <c r="E116" s="120">
        <v>1</v>
      </c>
      <c r="F116" s="129" t="s">
        <v>340</v>
      </c>
    </row>
    <row r="117" spans="1:6" x14ac:dyDescent="0.2">
      <c r="A117" s="70" t="s">
        <v>53</v>
      </c>
      <c r="B117" s="71" t="s">
        <v>127</v>
      </c>
      <c r="C117" s="95">
        <v>8</v>
      </c>
      <c r="D117" s="61" t="s">
        <v>31</v>
      </c>
      <c r="E117" s="121">
        <v>8</v>
      </c>
      <c r="F117" s="129" t="s">
        <v>341</v>
      </c>
    </row>
    <row r="118" spans="1:6" x14ac:dyDescent="0.2">
      <c r="A118" s="70" t="s">
        <v>54</v>
      </c>
      <c r="B118" s="71" t="s">
        <v>44</v>
      </c>
      <c r="C118" s="95">
        <v>200</v>
      </c>
      <c r="D118" s="61" t="s">
        <v>31</v>
      </c>
      <c r="E118" s="121">
        <v>200</v>
      </c>
      <c r="F118" s="129" t="s">
        <v>342</v>
      </c>
    </row>
    <row r="119" spans="1:6" x14ac:dyDescent="0.2">
      <c r="A119" s="70" t="s">
        <v>122</v>
      </c>
      <c r="B119" s="71" t="s">
        <v>121</v>
      </c>
      <c r="C119" s="95">
        <v>2</v>
      </c>
      <c r="D119" s="61" t="s">
        <v>31</v>
      </c>
      <c r="E119" s="121">
        <v>2</v>
      </c>
      <c r="F119" s="129" t="s">
        <v>343</v>
      </c>
    </row>
    <row r="120" spans="1:6" x14ac:dyDescent="0.2">
      <c r="A120" s="70" t="s">
        <v>123</v>
      </c>
      <c r="B120" s="71" t="s">
        <v>121</v>
      </c>
      <c r="C120" s="95">
        <v>2</v>
      </c>
      <c r="D120" s="61" t="s">
        <v>31</v>
      </c>
      <c r="E120" s="121">
        <v>2</v>
      </c>
      <c r="F120" s="129" t="s">
        <v>344</v>
      </c>
    </row>
    <row r="121" spans="1:6" x14ac:dyDescent="0.2">
      <c r="A121" s="70" t="s">
        <v>124</v>
      </c>
      <c r="B121" s="71" t="s">
        <v>121</v>
      </c>
      <c r="C121" s="95">
        <v>0</v>
      </c>
      <c r="D121" s="61" t="s">
        <v>31</v>
      </c>
      <c r="E121" s="121">
        <v>0</v>
      </c>
      <c r="F121" s="129" t="s">
        <v>345</v>
      </c>
    </row>
    <row r="122" spans="1:6" x14ac:dyDescent="0.2">
      <c r="A122" s="70" t="s">
        <v>125</v>
      </c>
      <c r="B122" s="71" t="s">
        <v>121</v>
      </c>
      <c r="C122" s="95">
        <v>6</v>
      </c>
      <c r="D122" s="61" t="s">
        <v>31</v>
      </c>
      <c r="E122" s="121">
        <v>6</v>
      </c>
      <c r="F122" s="129" t="s">
        <v>346</v>
      </c>
    </row>
    <row r="123" spans="1:6" x14ac:dyDescent="0.2">
      <c r="A123" s="70" t="s">
        <v>126</v>
      </c>
      <c r="B123" s="71" t="s">
        <v>121</v>
      </c>
      <c r="C123" s="95">
        <v>6</v>
      </c>
      <c r="D123" s="61" t="s">
        <v>31</v>
      </c>
      <c r="E123" s="121">
        <v>6</v>
      </c>
      <c r="F123" s="129" t="s">
        <v>347</v>
      </c>
    </row>
    <row r="124" spans="1:6" x14ac:dyDescent="0.2">
      <c r="A124" s="70" t="s">
        <v>55</v>
      </c>
      <c r="B124" s="71" t="s">
        <v>29</v>
      </c>
      <c r="C124" s="143">
        <v>2000</v>
      </c>
      <c r="D124" s="61" t="s">
        <v>31</v>
      </c>
      <c r="E124" s="144">
        <v>2000</v>
      </c>
      <c r="F124" s="129" t="s">
        <v>348</v>
      </c>
    </row>
    <row r="125" spans="1:6" x14ac:dyDescent="0.2">
      <c r="A125" s="76" t="s">
        <v>188</v>
      </c>
      <c r="B125" s="79"/>
      <c r="C125" s="79"/>
      <c r="D125" s="77"/>
      <c r="E125" s="122"/>
      <c r="F125" s="129" t="s">
        <v>349</v>
      </c>
    </row>
    <row r="126" spans="1:6" x14ac:dyDescent="0.2">
      <c r="A126" s="70" t="s">
        <v>177</v>
      </c>
      <c r="B126" s="71" t="s">
        <v>193</v>
      </c>
      <c r="C126" s="82">
        <v>8</v>
      </c>
      <c r="D126" s="61" t="s">
        <v>31</v>
      </c>
      <c r="E126" s="111">
        <v>8</v>
      </c>
      <c r="F126" s="129" t="s">
        <v>350</v>
      </c>
    </row>
    <row r="127" spans="1:6" x14ac:dyDescent="0.2">
      <c r="A127" s="70" t="s">
        <v>178</v>
      </c>
      <c r="B127" s="71" t="s">
        <v>193</v>
      </c>
      <c r="C127" s="82">
        <v>1</v>
      </c>
      <c r="D127" s="61" t="s">
        <v>31</v>
      </c>
      <c r="E127" s="111">
        <v>1</v>
      </c>
      <c r="F127" s="129" t="s">
        <v>351</v>
      </c>
    </row>
    <row r="128" spans="1:6" x14ac:dyDescent="0.2">
      <c r="A128" s="73" t="s">
        <v>179</v>
      </c>
      <c r="B128" s="71" t="s">
        <v>193</v>
      </c>
      <c r="C128" s="87">
        <v>1</v>
      </c>
      <c r="D128" s="61" t="s">
        <v>31</v>
      </c>
      <c r="E128" s="123">
        <v>1</v>
      </c>
      <c r="F128" s="129" t="s">
        <v>352</v>
      </c>
    </row>
    <row r="129" spans="1:6" x14ac:dyDescent="0.2">
      <c r="A129" s="70" t="s">
        <v>180</v>
      </c>
      <c r="B129" s="71" t="s">
        <v>193</v>
      </c>
      <c r="C129" s="82">
        <v>0.5</v>
      </c>
      <c r="D129" s="61" t="s">
        <v>31</v>
      </c>
      <c r="E129" s="111">
        <v>0.5</v>
      </c>
      <c r="F129" s="129" t="s">
        <v>353</v>
      </c>
    </row>
    <row r="130" spans="1:6" x14ac:dyDescent="0.2">
      <c r="A130" s="70" t="s">
        <v>181</v>
      </c>
      <c r="B130" s="71" t="s">
        <v>193</v>
      </c>
      <c r="C130" s="82">
        <v>0.5</v>
      </c>
      <c r="D130" s="61" t="s">
        <v>31</v>
      </c>
      <c r="E130" s="111">
        <v>0.5</v>
      </c>
      <c r="F130" s="129" t="s">
        <v>354</v>
      </c>
    </row>
    <row r="131" spans="1:6" x14ac:dyDescent="0.2">
      <c r="A131" s="70" t="s">
        <v>182</v>
      </c>
      <c r="B131" s="71" t="s">
        <v>193</v>
      </c>
      <c r="C131" s="82">
        <v>8</v>
      </c>
      <c r="D131" s="61" t="s">
        <v>31</v>
      </c>
      <c r="E131" s="111">
        <v>8</v>
      </c>
      <c r="F131" s="129" t="s">
        <v>355</v>
      </c>
    </row>
    <row r="132" spans="1:6" x14ac:dyDescent="0.2">
      <c r="A132" s="70" t="s">
        <v>183</v>
      </c>
      <c r="B132" s="71" t="s">
        <v>193</v>
      </c>
      <c r="C132" s="82">
        <v>0</v>
      </c>
      <c r="D132" s="61" t="s">
        <v>31</v>
      </c>
      <c r="E132" s="111">
        <v>0</v>
      </c>
      <c r="F132" s="129" t="s">
        <v>356</v>
      </c>
    </row>
    <row r="133" spans="1:6" x14ac:dyDescent="0.2">
      <c r="A133" s="76" t="s">
        <v>375</v>
      </c>
      <c r="B133" s="79"/>
      <c r="C133" s="77"/>
      <c r="D133" s="77"/>
      <c r="E133" s="122"/>
      <c r="F133" s="129" t="s">
        <v>357</v>
      </c>
    </row>
    <row r="134" spans="1:6" x14ac:dyDescent="0.2">
      <c r="A134" s="70" t="s">
        <v>177</v>
      </c>
      <c r="B134" s="71" t="s">
        <v>193</v>
      </c>
      <c r="C134" s="87">
        <v>1.5</v>
      </c>
      <c r="D134" s="61" t="s">
        <v>31</v>
      </c>
      <c r="E134" s="111">
        <v>1.5</v>
      </c>
      <c r="F134" s="129" t="s">
        <v>358</v>
      </c>
    </row>
    <row r="135" spans="1:6" x14ac:dyDescent="0.2">
      <c r="A135" s="70" t="s">
        <v>178</v>
      </c>
      <c r="B135" s="71" t="s">
        <v>193</v>
      </c>
      <c r="C135" s="87">
        <v>0</v>
      </c>
      <c r="D135" s="61" t="s">
        <v>31</v>
      </c>
      <c r="E135" s="111">
        <v>0</v>
      </c>
      <c r="F135" s="129" t="s">
        <v>359</v>
      </c>
    </row>
    <row r="136" spans="1:6" x14ac:dyDescent="0.2">
      <c r="A136" s="73" t="s">
        <v>179</v>
      </c>
      <c r="B136" s="71" t="s">
        <v>193</v>
      </c>
      <c r="C136" s="87">
        <v>0</v>
      </c>
      <c r="D136" s="61" t="s">
        <v>31</v>
      </c>
      <c r="E136" s="123">
        <v>0</v>
      </c>
      <c r="F136" s="129" t="s">
        <v>360</v>
      </c>
    </row>
    <row r="137" spans="1:6" x14ac:dyDescent="0.2">
      <c r="A137" s="70" t="s">
        <v>180</v>
      </c>
      <c r="B137" s="71" t="s">
        <v>193</v>
      </c>
      <c r="C137" s="87">
        <v>0</v>
      </c>
      <c r="D137" s="61" t="s">
        <v>31</v>
      </c>
      <c r="E137" s="111">
        <v>0</v>
      </c>
      <c r="F137" s="129" t="s">
        <v>361</v>
      </c>
    </row>
    <row r="138" spans="1:6" x14ac:dyDescent="0.2">
      <c r="A138" s="70" t="s">
        <v>181</v>
      </c>
      <c r="B138" s="71" t="s">
        <v>193</v>
      </c>
      <c r="C138" s="87">
        <v>1.5</v>
      </c>
      <c r="D138" s="61" t="s">
        <v>31</v>
      </c>
      <c r="E138" s="111">
        <v>1.5</v>
      </c>
      <c r="F138" s="129" t="s">
        <v>362</v>
      </c>
    </row>
    <row r="139" spans="1:6" x14ac:dyDescent="0.2">
      <c r="A139" s="70" t="s">
        <v>182</v>
      </c>
      <c r="B139" s="71" t="s">
        <v>193</v>
      </c>
      <c r="C139" s="87">
        <v>1.5</v>
      </c>
      <c r="D139" s="61" t="s">
        <v>31</v>
      </c>
      <c r="E139" s="111">
        <v>1.5</v>
      </c>
      <c r="F139" s="129" t="s">
        <v>363</v>
      </c>
    </row>
    <row r="140" spans="1:6" x14ac:dyDescent="0.2">
      <c r="A140" s="70" t="s">
        <v>183</v>
      </c>
      <c r="B140" s="71" t="s">
        <v>193</v>
      </c>
      <c r="C140" s="87">
        <v>0</v>
      </c>
      <c r="D140" s="61" t="s">
        <v>31</v>
      </c>
      <c r="E140" s="111">
        <v>0</v>
      </c>
      <c r="F140" s="129" t="s">
        <v>364</v>
      </c>
    </row>
    <row r="141" spans="1:6" ht="25.5" x14ac:dyDescent="0.2">
      <c r="A141" s="149" t="s">
        <v>463</v>
      </c>
      <c r="B141" s="153" t="s">
        <v>464</v>
      </c>
      <c r="C141" s="89">
        <v>1</v>
      </c>
      <c r="D141" s="61" t="s">
        <v>31</v>
      </c>
      <c r="E141" s="116">
        <v>1</v>
      </c>
      <c r="F141" s="129" t="s">
        <v>365</v>
      </c>
    </row>
    <row r="142" spans="1:6" x14ac:dyDescent="0.2">
      <c r="A142" s="162" t="s">
        <v>465</v>
      </c>
      <c r="B142" s="163" t="s">
        <v>172</v>
      </c>
      <c r="C142" s="88">
        <v>100</v>
      </c>
      <c r="D142" s="63" t="s">
        <v>31</v>
      </c>
      <c r="E142" s="124">
        <v>100</v>
      </c>
      <c r="F142" s="129" t="s">
        <v>366</v>
      </c>
    </row>
    <row r="143" spans="1:6" ht="25.5" customHeight="1" x14ac:dyDescent="0.2">
      <c r="A143" s="224" t="s">
        <v>471</v>
      </c>
      <c r="B143" s="225"/>
      <c r="C143" s="225"/>
      <c r="D143" s="225"/>
      <c r="E143" s="226"/>
      <c r="F143" s="129" t="s">
        <v>367</v>
      </c>
    </row>
    <row r="144" spans="1:6" x14ac:dyDescent="0.2">
      <c r="A144" s="224"/>
      <c r="B144" s="225"/>
      <c r="C144" s="225"/>
      <c r="D144" s="225"/>
      <c r="E144" s="226"/>
      <c r="F144" s="129"/>
    </row>
    <row r="145" spans="1:6" ht="15.75" customHeight="1" x14ac:dyDescent="0.2">
      <c r="A145" s="134" t="s">
        <v>467</v>
      </c>
      <c r="B145" s="164"/>
      <c r="C145" s="164"/>
      <c r="D145" s="164"/>
      <c r="E145" s="165"/>
      <c r="F145" s="129" t="s">
        <v>368</v>
      </c>
    </row>
    <row r="146" spans="1:6" x14ac:dyDescent="0.2">
      <c r="A146" s="135" t="s">
        <v>226</v>
      </c>
      <c r="B146" s="166" t="s">
        <v>214</v>
      </c>
      <c r="C146" s="167">
        <v>1</v>
      </c>
      <c r="D146" s="166" t="s">
        <v>31</v>
      </c>
      <c r="E146" s="168">
        <v>1</v>
      </c>
      <c r="F146" s="129" t="s">
        <v>369</v>
      </c>
    </row>
    <row r="147" spans="1:6" x14ac:dyDescent="0.2">
      <c r="A147" s="135" t="s">
        <v>212</v>
      </c>
      <c r="B147" s="166" t="s">
        <v>214</v>
      </c>
      <c r="C147" s="167">
        <v>1</v>
      </c>
      <c r="D147" s="166" t="s">
        <v>31</v>
      </c>
      <c r="E147" s="168">
        <v>1</v>
      </c>
      <c r="F147" s="129" t="s">
        <v>412</v>
      </c>
    </row>
    <row r="148" spans="1:6" x14ac:dyDescent="0.2">
      <c r="A148" s="135" t="s">
        <v>227</v>
      </c>
      <c r="B148" s="166" t="s">
        <v>214</v>
      </c>
      <c r="C148" s="167">
        <v>1</v>
      </c>
      <c r="D148" s="166" t="s">
        <v>31</v>
      </c>
      <c r="E148" s="168">
        <v>1</v>
      </c>
      <c r="F148" s="129" t="s">
        <v>413</v>
      </c>
    </row>
    <row r="149" spans="1:6" x14ac:dyDescent="0.2">
      <c r="A149" s="76" t="s">
        <v>215</v>
      </c>
      <c r="B149" s="169"/>
      <c r="C149" s="169"/>
      <c r="D149" s="169"/>
      <c r="E149" s="170"/>
      <c r="F149" s="129" t="s">
        <v>414</v>
      </c>
    </row>
    <row r="150" spans="1:6" x14ac:dyDescent="0.2">
      <c r="A150" s="171" t="s">
        <v>468</v>
      </c>
      <c r="B150" s="172" t="s">
        <v>466</v>
      </c>
      <c r="C150" s="173">
        <v>0</v>
      </c>
      <c r="D150" s="172" t="s">
        <v>31</v>
      </c>
      <c r="E150" s="174">
        <v>0</v>
      </c>
      <c r="F150" s="129" t="s">
        <v>415</v>
      </c>
    </row>
    <row r="151" spans="1:6" x14ac:dyDescent="0.2">
      <c r="A151" s="171" t="s">
        <v>469</v>
      </c>
      <c r="B151" s="172" t="s">
        <v>466</v>
      </c>
      <c r="C151" s="173">
        <v>0</v>
      </c>
      <c r="D151" s="172" t="s">
        <v>31</v>
      </c>
      <c r="E151" s="174">
        <v>0</v>
      </c>
      <c r="F151" s="129" t="s">
        <v>416</v>
      </c>
    </row>
    <row r="152" spans="1:6" ht="13.5" thickBot="1" x14ac:dyDescent="0.25">
      <c r="A152" s="175" t="s">
        <v>470</v>
      </c>
      <c r="B152" s="176" t="s">
        <v>466</v>
      </c>
      <c r="C152" s="177">
        <v>0</v>
      </c>
      <c r="D152" s="176" t="s">
        <v>31</v>
      </c>
      <c r="E152" s="178">
        <v>0</v>
      </c>
      <c r="F152" s="130" t="s">
        <v>417</v>
      </c>
    </row>
  </sheetData>
  <mergeCells count="12">
    <mergeCell ref="A99:E99"/>
    <mergeCell ref="A144:E144"/>
    <mergeCell ref="A98:E98"/>
    <mergeCell ref="A143:E143"/>
    <mergeCell ref="A75:E75"/>
    <mergeCell ref="A8:E8"/>
    <mergeCell ref="A23:E23"/>
    <mergeCell ref="A45:E45"/>
    <mergeCell ref="A74:E74"/>
    <mergeCell ref="A46:E46"/>
    <mergeCell ref="A24:E24"/>
    <mergeCell ref="A9:E9"/>
  </mergeCells>
  <phoneticPr fontId="0" type="noConversion"/>
  <printOptions gridLines="1" gridLinesSet="0"/>
  <pageMargins left="0.5" right="0.5" top="0.75" bottom="0.75" header="0.5" footer="0.5"/>
  <pageSetup scale="75" orientation="landscape" horizontalDpi="300" verticalDpi="300" r:id="rId1"/>
  <headerFooter alignWithMargins="0">
    <oddHeader>&amp;CInput Data for Calculating COO of Gas Delivery Systems</oddHeader>
    <oddFooter>&amp;LRefer to SEMI Document xxxx&amp;CPage &amp;P&amp;RCreated 06/25/99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heetViews>
  <sheetFormatPr defaultColWidth="9.140625" defaultRowHeight="12.75" x14ac:dyDescent="0.2"/>
  <cols>
    <col min="1" max="1" width="24.5703125" style="6" customWidth="1"/>
    <col min="2" max="2" width="11.28515625" style="6" bestFit="1" customWidth="1"/>
    <col min="3" max="11" width="10.28515625" style="6" customWidth="1"/>
    <col min="12" max="16384" width="9.140625" style="6"/>
  </cols>
  <sheetData>
    <row r="1" spans="1:11" x14ac:dyDescent="0.2">
      <c r="A1" s="6" t="s">
        <v>15</v>
      </c>
    </row>
    <row r="2" spans="1:11" x14ac:dyDescent="0.2">
      <c r="A2" s="6" t="s">
        <v>161</v>
      </c>
    </row>
    <row r="3" spans="1:11" x14ac:dyDescent="0.2">
      <c r="A3" s="6" t="s">
        <v>473</v>
      </c>
    </row>
    <row r="6" spans="1:11" x14ac:dyDescent="0.2">
      <c r="A6" s="230" t="s">
        <v>99</v>
      </c>
      <c r="B6" s="230"/>
    </row>
    <row r="7" spans="1:11" x14ac:dyDescent="0.2">
      <c r="A7" s="7" t="s">
        <v>82</v>
      </c>
      <c r="B7" s="8">
        <f>SUM(B10:B12,B14:B16)</f>
        <v>14842.857142857143</v>
      </c>
      <c r="C7" s="8">
        <f t="shared" ref="C7:K7" si="0">SUM(C10:C12,C14:C16)</f>
        <v>14842.857142857143</v>
      </c>
      <c r="D7" s="8">
        <f t="shared" si="0"/>
        <v>14842.857142857143</v>
      </c>
      <c r="E7" s="8">
        <f t="shared" si="0"/>
        <v>14842.857142857143</v>
      </c>
      <c r="F7" s="8">
        <f t="shared" si="0"/>
        <v>14842.857142857143</v>
      </c>
      <c r="G7" s="8">
        <f t="shared" si="0"/>
        <v>14842.857142857143</v>
      </c>
      <c r="H7" s="8">
        <f t="shared" si="0"/>
        <v>14842.857142857143</v>
      </c>
      <c r="I7" s="8">
        <f t="shared" si="0"/>
        <v>0</v>
      </c>
      <c r="J7" s="8">
        <f t="shared" si="0"/>
        <v>0</v>
      </c>
      <c r="K7" s="8">
        <f t="shared" si="0"/>
        <v>0</v>
      </c>
    </row>
    <row r="8" spans="1:11" x14ac:dyDescent="0.2">
      <c r="B8" s="9" t="s">
        <v>88</v>
      </c>
      <c r="C8" s="9" t="s">
        <v>89</v>
      </c>
      <c r="D8" s="9" t="s">
        <v>90</v>
      </c>
      <c r="E8" s="9" t="s">
        <v>91</v>
      </c>
      <c r="F8" s="9" t="s">
        <v>92</v>
      </c>
      <c r="G8" s="9" t="s">
        <v>93</v>
      </c>
      <c r="H8" s="9" t="s">
        <v>94</v>
      </c>
      <c r="I8" s="9" t="s">
        <v>95</v>
      </c>
      <c r="J8" s="9" t="s">
        <v>96</v>
      </c>
      <c r="K8" s="9" t="s">
        <v>97</v>
      </c>
    </row>
    <row r="9" spans="1:11" x14ac:dyDescent="0.2">
      <c r="A9" s="10" t="s">
        <v>130</v>
      </c>
      <c r="B9" s="9"/>
      <c r="C9" s="9"/>
      <c r="D9" s="9"/>
      <c r="E9" s="9"/>
      <c r="F9" s="9"/>
      <c r="G9" s="9"/>
      <c r="H9" s="9"/>
      <c r="I9" s="9"/>
      <c r="J9" s="9"/>
      <c r="K9" s="9"/>
    </row>
    <row r="10" spans="1:11" x14ac:dyDescent="0.2">
      <c r="A10" s="11" t="s">
        <v>85</v>
      </c>
      <c r="B10" s="12">
        <f>IF(AND(Inputs!$E$14&gt;=1,Inputs!$E$11="SLN"),SLN(Inputs!$E$13,Inputs!$E$15,Inputs!$E$14),0)</f>
        <v>14142.857142857143</v>
      </c>
      <c r="C10" s="12">
        <f>IF(AND(Inputs!$E$14&gt;=2,Inputs!$E$11="SLN"),SLN(Inputs!$E$13,Inputs!$E$15,Inputs!$E$14),0)</f>
        <v>14142.857142857143</v>
      </c>
      <c r="D10" s="12">
        <f>IF(AND(Inputs!$E$14&gt;=3,Inputs!$E$11="SLN"),SLN(Inputs!$E$13,Inputs!$E$15,Inputs!$E$14),0)</f>
        <v>14142.857142857143</v>
      </c>
      <c r="E10" s="12">
        <f>IF(AND(Inputs!$E$14&gt;=4,Inputs!$E$11="SLN"),SLN(Inputs!$E$13,Inputs!$E$15,Inputs!$E$14),0)</f>
        <v>14142.857142857143</v>
      </c>
      <c r="F10" s="12">
        <f>IF(AND(Inputs!$E$14&gt;=5,Inputs!$E$11="SLN"),SLN(Inputs!$E$13,Inputs!$E$15,Inputs!$E$14),0)</f>
        <v>14142.857142857143</v>
      </c>
      <c r="G10" s="12">
        <f>IF(AND(Inputs!$E$14&gt;=6,Inputs!$E$11="SLN"),SLN(Inputs!$E$13,Inputs!$E$15,Inputs!$E$14),0)</f>
        <v>14142.857142857143</v>
      </c>
      <c r="H10" s="12">
        <f>IF(AND(Inputs!$E$14&gt;=7,Inputs!$E$11="SLN"),SLN(Inputs!$E$13,Inputs!$E$15,Inputs!$E$14),0)</f>
        <v>14142.857142857143</v>
      </c>
      <c r="I10" s="12">
        <f>IF(AND(Inputs!$E$14&gt;=8,Inputs!$E$11="SLN"),SLN(Inputs!$E$13,Inputs!$E$15,Inputs!$E$14),0)</f>
        <v>0</v>
      </c>
      <c r="J10" s="12">
        <f>IF(AND(Inputs!$E$14&gt;=9,Inputs!$E$11="SLN"),SLN(Inputs!$E$13,Inputs!$E$15,Inputs!$E$14),0)</f>
        <v>0</v>
      </c>
      <c r="K10" s="12">
        <f>IF(AND(Inputs!$E$14&gt;=10,Inputs!$E$11="SLN"),SLN(Inputs!$E$13,Inputs!$E$15,Inputs!$E$14),0)</f>
        <v>0</v>
      </c>
    </row>
    <row r="11" spans="1:11" x14ac:dyDescent="0.2">
      <c r="A11" s="11" t="s">
        <v>86</v>
      </c>
      <c r="B11" s="12">
        <f>IF(AND(Inputs!$E$14&gt;=1,Inputs!$E$11="DB"),DB(Inputs!$E$13,Inputs!$E$15,Inputs!$E$14,1,12),0)</f>
        <v>0</v>
      </c>
      <c r="C11" s="12">
        <f>IF(AND(Inputs!$E$14&gt;=2,Inputs!$E$11="DB"),DB(Inputs!$E$13,Inputs!$E$15,Inputs!$E$14,2,12),0)</f>
        <v>0</v>
      </c>
      <c r="D11" s="12">
        <f>IF(AND(Inputs!$E$14&gt;=3,Inputs!$E$11="DB"),DB(Inputs!$E$13,Inputs!$E$15,Inputs!$E$14,3,12),0)</f>
        <v>0</v>
      </c>
      <c r="E11" s="12">
        <f>IF(AND(Inputs!$E$14&gt;=4,Inputs!$E$11="DB"),DB(Inputs!$E$13,Inputs!$E$15,Inputs!$E$14,4,12),0)</f>
        <v>0</v>
      </c>
      <c r="F11" s="12">
        <f>IF(AND(Inputs!$E$14&gt;=5,Inputs!$E$11="DB"),DB(Inputs!$E$13,Inputs!$E$15,Inputs!$E$14,5,12),0)</f>
        <v>0</v>
      </c>
      <c r="G11" s="12">
        <f>IF(AND(Inputs!$E$14&gt;=6,Inputs!$E$11="DB"),DB(Inputs!$E$13,Inputs!$E$15,Inputs!$E$14,6,12),0)</f>
        <v>0</v>
      </c>
      <c r="H11" s="12">
        <f>IF(AND(Inputs!$E$14&gt;=7,Inputs!$E$11="DB"),DB(Inputs!$E$13,Inputs!$E$15,Inputs!$E$14,7,12),0)</f>
        <v>0</v>
      </c>
      <c r="I11" s="12">
        <f>IF(AND(Inputs!$E$14&gt;=8,Inputs!$E$11="DB"),DB(Inputs!$E$13,Inputs!$E$15,Inputs!$E$14,8,12),0)</f>
        <v>0</v>
      </c>
      <c r="J11" s="12">
        <f>IF(AND(Inputs!$E$14&gt;=9,Inputs!$E$11="DB"),DB(Inputs!$E$13,Inputs!$E$15,Inputs!$E$14,9,12),0)</f>
        <v>0</v>
      </c>
      <c r="K11" s="12">
        <f>IF(AND(Inputs!$E$14&gt;=10,Inputs!$E$11="DB"),DB(Inputs!$E$13,Inputs!$E$15,Inputs!$E$14,10,12),0)</f>
        <v>0</v>
      </c>
    </row>
    <row r="12" spans="1:11" x14ac:dyDescent="0.2">
      <c r="A12" s="11" t="s">
        <v>87</v>
      </c>
      <c r="B12" s="12">
        <f>IF(AND(Inputs!$E$14&gt;=1,Inputs!$E$11="DDB"),DDB(Inputs!$E$13,Inputs!$E$15,Inputs!$E$14,1,2),0)</f>
        <v>0</v>
      </c>
      <c r="C12" s="12">
        <f>IF(AND(Inputs!$E$14&gt;=2,Inputs!$E$11="DDB"),DDB(Inputs!$E$13,Inputs!$E$15,Inputs!$E$14,2,2),0)</f>
        <v>0</v>
      </c>
      <c r="D12" s="12">
        <f>IF(AND(Inputs!$E$14&gt;=3,Inputs!$E$11="DDB"),DDB(Inputs!$E$13,Inputs!$E$15,Inputs!$E$14,3,2),0)</f>
        <v>0</v>
      </c>
      <c r="E12" s="12">
        <f>IF(AND(Inputs!$E$14&gt;=4,Inputs!$E$11="DDB"),DDB(Inputs!$E$13,Inputs!$E$15,Inputs!$E$14,4,2),0)</f>
        <v>0</v>
      </c>
      <c r="F12" s="12">
        <f>IF(AND(Inputs!$E$14&gt;=5,Inputs!$E$11="DDB"),DDB(Inputs!$E$13,Inputs!$E$15,Inputs!$E$14,5,2),0)</f>
        <v>0</v>
      </c>
      <c r="G12" s="12">
        <f>IF(AND(Inputs!$E$14&gt;=6,Inputs!$E$11="DDB"),DDB(Inputs!$E$13,Inputs!$E$15,Inputs!$E$14,6,2),0)</f>
        <v>0</v>
      </c>
      <c r="H12" s="12">
        <f>IF(AND(Inputs!$E$14&gt;=7,Inputs!$E$11="DDB"),DDB(Inputs!$E$13,Inputs!$E$15,Inputs!$E$14,7,2),0)</f>
        <v>0</v>
      </c>
      <c r="I12" s="12">
        <f>IF(AND(Inputs!$E$14&gt;=8,Inputs!$E$11="DDB"),DDB(Inputs!$E$13,Inputs!$E$15,Inputs!$E$14,8,2),0)</f>
        <v>0</v>
      </c>
      <c r="J12" s="12">
        <f>IF(AND(Inputs!$E$14&gt;=9,Inputs!$E$11="DDB"),DDB(Inputs!$E$13,Inputs!$E$15,Inputs!$E$14,9,2),0)</f>
        <v>0</v>
      </c>
      <c r="K12" s="12">
        <f>IF(AND(Inputs!$E$14&gt;=10,Inputs!$E$11="DDB"),DDB(Inputs!$E$13,Inputs!$E$15,Inputs!$E$14,10,2),0)</f>
        <v>0</v>
      </c>
    </row>
    <row r="13" spans="1:11" x14ac:dyDescent="0.2">
      <c r="A13" s="13" t="s">
        <v>131</v>
      </c>
      <c r="B13" s="14"/>
      <c r="C13" s="14"/>
      <c r="D13" s="14"/>
      <c r="E13" s="14"/>
      <c r="F13" s="14"/>
      <c r="G13" s="14"/>
      <c r="H13" s="14"/>
      <c r="I13" s="14"/>
      <c r="J13" s="14"/>
      <c r="K13" s="14"/>
    </row>
    <row r="14" spans="1:11" x14ac:dyDescent="0.2">
      <c r="A14" s="11" t="s">
        <v>85</v>
      </c>
      <c r="B14" s="12">
        <f>IF(AND(Inputs!$E$19&gt;=1,Inputs!$E$11="SLN"),SLN(Inputs!$E$18,Inputs!$E$20,Inputs!$E$19),0)</f>
        <v>700</v>
      </c>
      <c r="C14" s="12">
        <f>IF(AND(Inputs!$E$19&gt;=2,Inputs!$E$11="SLN"),SLN(Inputs!$E$18,Inputs!$E$20,Inputs!$E$19),0)</f>
        <v>700</v>
      </c>
      <c r="D14" s="12">
        <f>IF(AND(Inputs!$E$19&gt;=3,Inputs!$E$11="SLN"),SLN(Inputs!$E$18,Inputs!$E$20,Inputs!$E$19),0)</f>
        <v>700</v>
      </c>
      <c r="E14" s="12">
        <f>IF(AND(Inputs!$E$19&gt;=4,Inputs!$E$11="SLN"),SLN(Inputs!$E$18,Inputs!$E$20,Inputs!$E$19),0)</f>
        <v>700</v>
      </c>
      <c r="F14" s="12">
        <f>IF(AND(Inputs!$E$19&gt;=5,Inputs!$E$11="SLN"),SLN(Inputs!$E$18,Inputs!$E$20,Inputs!$E$19),0)</f>
        <v>700</v>
      </c>
      <c r="G14" s="12">
        <f>IF(AND(Inputs!$E$19&gt;=6,Inputs!$E$11="SLN"),SLN(Inputs!$E$18,Inputs!$E$20,Inputs!$E$19),0)</f>
        <v>700</v>
      </c>
      <c r="H14" s="12">
        <f>IF(AND(Inputs!$E$19&gt;=7,Inputs!$E$11="SLN"),SLN(Inputs!$E$18,Inputs!$E$20,Inputs!$E$19),0)</f>
        <v>700</v>
      </c>
      <c r="I14" s="12">
        <f>IF(AND(Inputs!$E$19&gt;=8,Inputs!$E$11="SLN"),SLN(Inputs!$E$18,Inputs!$E$20,Inputs!$E$19),0)</f>
        <v>0</v>
      </c>
      <c r="J14" s="12">
        <f>IF(AND(Inputs!$E$19&gt;=9,Inputs!$E$11="SLN"),SLN(Inputs!$E$18,Inputs!$E$20,Inputs!$E$19),0)</f>
        <v>0</v>
      </c>
      <c r="K14" s="12">
        <f>IF(AND(Inputs!$E$19&gt;=10,Inputs!$E$11="SLN"),SLN(Inputs!$E$18,Inputs!$E$20,Inputs!$E$19),0)</f>
        <v>0</v>
      </c>
    </row>
    <row r="15" spans="1:11" x14ac:dyDescent="0.2">
      <c r="A15" s="11" t="s">
        <v>86</v>
      </c>
      <c r="B15" s="12">
        <f>IF(AND(Inputs!$E$19&gt;=1,Inputs!$E$11="DB"),DB(Inputs!$E$18,Inputs!$E$20,Inputs!$E$19,1,12),0)</f>
        <v>0</v>
      </c>
      <c r="C15" s="12">
        <f>IF(AND(Inputs!$E$19&gt;=2,Inputs!$E$11="DB"),DB(Inputs!$E$18,Inputs!$E$20,Inputs!$E$19,2,12),0)</f>
        <v>0</v>
      </c>
      <c r="D15" s="12">
        <f>IF(AND(Inputs!$E$19&gt;=3,Inputs!$E$11="DB"),DB(Inputs!$E$18,Inputs!$E$20,Inputs!$E$19,3,12),0)</f>
        <v>0</v>
      </c>
      <c r="E15" s="12">
        <f>IF(AND(Inputs!$E$19&gt;=4,Inputs!$E$11="DB"),DB(Inputs!$E$18,Inputs!$E$20,Inputs!$E$19,4,12),0)</f>
        <v>0</v>
      </c>
      <c r="F15" s="12">
        <f>IF(AND(Inputs!$E$19&gt;=5,Inputs!$E$11="DB"),DB(Inputs!$E$18,Inputs!$E$20,Inputs!$E$19,5,12),0)</f>
        <v>0</v>
      </c>
      <c r="G15" s="12">
        <f>IF(AND(Inputs!$E$19&gt;=6,Inputs!$E$11="DB"),DB(Inputs!$E$18,Inputs!$E$20,Inputs!$E$19,6,12),0)</f>
        <v>0</v>
      </c>
      <c r="H15" s="12">
        <f>IF(AND(Inputs!$E$19&gt;=7,Inputs!$E$11="DB"),DB(Inputs!$E$18,Inputs!$E$20,Inputs!$E$19,7,12),0)</f>
        <v>0</v>
      </c>
      <c r="I15" s="12">
        <f>IF(AND(Inputs!$E$19&gt;=8,Inputs!$E$11="DB"),DB(Inputs!$E$18,Inputs!$E$20,Inputs!$E$19,8,12),0)</f>
        <v>0</v>
      </c>
      <c r="J15" s="12">
        <f>IF(AND(Inputs!$E$19&gt;=9,Inputs!$E$11="DB"),DB(Inputs!$E$18,Inputs!$E$20,Inputs!$E$19,9,12),0)</f>
        <v>0</v>
      </c>
      <c r="K15" s="12">
        <f>IF(AND(Inputs!$E$19&gt;=10,Inputs!$E$11="DB"),DB(Inputs!$E$18,Inputs!$E$20,Inputs!$E$19,10,12),0)</f>
        <v>0</v>
      </c>
    </row>
    <row r="16" spans="1:11" x14ac:dyDescent="0.2">
      <c r="A16" s="11" t="s">
        <v>87</v>
      </c>
      <c r="B16" s="12">
        <f>IF(AND(Inputs!$E$19&gt;=1,Inputs!$E$11="DDB"),DDB(Inputs!$E$18,Inputs!$E$20,Inputs!$E$19,1,2),0)</f>
        <v>0</v>
      </c>
      <c r="C16" s="12">
        <f>IF(AND(Inputs!$E$19&gt;=2,Inputs!$E$11="DDB"),DDB(Inputs!$E$18,Inputs!$E$20,Inputs!$E$19,2,2),0)</f>
        <v>0</v>
      </c>
      <c r="D16" s="12">
        <f>IF(AND(Inputs!$E$19&gt;=3,Inputs!$E$11="DDB"),DDB(Inputs!$E$18,Inputs!$E$20,Inputs!$E$19,3,2),0)</f>
        <v>0</v>
      </c>
      <c r="E16" s="12">
        <f>IF(AND(Inputs!$E$19&gt;=4,Inputs!$E$11="DDB"),DDB(Inputs!$E$18,Inputs!$E$20,Inputs!$E$19,4,2),0)</f>
        <v>0</v>
      </c>
      <c r="F16" s="12">
        <f>IF(AND(Inputs!$E$19&gt;=5,Inputs!$E$11="DDB"),DDB(Inputs!$E$18,Inputs!$E$20,Inputs!$E$19,5,2),0)</f>
        <v>0</v>
      </c>
      <c r="G16" s="12">
        <f>IF(AND(Inputs!$E$19&gt;=6,Inputs!$E$11="DDB"),DDB(Inputs!$E$18,Inputs!$E$20,Inputs!$E$19,6,2),0)</f>
        <v>0</v>
      </c>
      <c r="H16" s="12">
        <f>IF(AND(Inputs!$E$19&gt;=7,Inputs!$E$11="DDB"),DDB(Inputs!$E$18,Inputs!$E$20,Inputs!$E$19,7,2),0)</f>
        <v>0</v>
      </c>
      <c r="I16" s="12">
        <f>IF(AND(Inputs!$E$19&gt;=8,Inputs!$E$11="DDB"),DDB(Inputs!$E$18,Inputs!$E$20,Inputs!$E$19,8,2),0)</f>
        <v>0</v>
      </c>
      <c r="J16" s="12">
        <f>IF(AND(Inputs!$E$19&gt;=9,Inputs!$E$11="DDB"),DDB(Inputs!$E$18,Inputs!$E$20,Inputs!$E$19,9,2),0)</f>
        <v>0</v>
      </c>
      <c r="K16" s="12">
        <f>IF(AND(Inputs!$E$19&gt;=10,Inputs!$E$11="DDB"),DDB(Inputs!$E$18,Inputs!$E$20,Inputs!$E$19,10,2),0)</f>
        <v>0</v>
      </c>
    </row>
    <row r="17" spans="1:11" x14ac:dyDescent="0.2">
      <c r="A17" s="15" t="s">
        <v>196</v>
      </c>
      <c r="B17" s="8">
        <f>SUM(B18:B25)</f>
        <v>7803.9726027397255</v>
      </c>
      <c r="C17" s="8">
        <f t="shared" ref="C17:K17" si="1">SUM(C18:C25)</f>
        <v>0</v>
      </c>
      <c r="D17" s="8">
        <f t="shared" si="1"/>
        <v>0</v>
      </c>
      <c r="E17" s="8">
        <f t="shared" si="1"/>
        <v>0</v>
      </c>
      <c r="F17" s="8">
        <f t="shared" si="1"/>
        <v>0</v>
      </c>
      <c r="G17" s="8">
        <f t="shared" si="1"/>
        <v>0</v>
      </c>
      <c r="H17" s="8">
        <f t="shared" si="1"/>
        <v>0</v>
      </c>
      <c r="I17" s="8">
        <f t="shared" si="1"/>
        <v>0</v>
      </c>
      <c r="J17" s="8">
        <f t="shared" si="1"/>
        <v>0</v>
      </c>
      <c r="K17" s="8">
        <f t="shared" si="1"/>
        <v>0</v>
      </c>
    </row>
    <row r="18" spans="1:11" ht="25.5" x14ac:dyDescent="0.2">
      <c r="A18" s="13" t="s">
        <v>115</v>
      </c>
      <c r="B18" s="12">
        <f>Inputs!E66*Inputs!E33/(365/7)/40</f>
        <v>2128.767123287671</v>
      </c>
      <c r="C18" s="12"/>
      <c r="D18" s="12"/>
      <c r="E18" s="12"/>
      <c r="F18" s="12"/>
      <c r="G18" s="12"/>
      <c r="H18" s="12"/>
      <c r="I18" s="12"/>
      <c r="J18" s="12"/>
      <c r="K18" s="12"/>
    </row>
    <row r="19" spans="1:11" ht="25.5" x14ac:dyDescent="0.2">
      <c r="A19" s="13" t="s">
        <v>116</v>
      </c>
      <c r="B19" s="12">
        <f>Inputs!E67*Inputs!E34/(365/7)/40</f>
        <v>2128.767123287671</v>
      </c>
      <c r="C19" s="12"/>
      <c r="D19" s="12"/>
      <c r="E19" s="12"/>
      <c r="F19" s="12"/>
      <c r="G19" s="12"/>
      <c r="H19" s="12"/>
      <c r="I19" s="12"/>
      <c r="J19" s="12"/>
      <c r="K19" s="12"/>
    </row>
    <row r="20" spans="1:11" x14ac:dyDescent="0.2">
      <c r="A20" s="13" t="s">
        <v>119</v>
      </c>
      <c r="B20" s="12">
        <f>Inputs!E68*Inputs!E35/(365/7)/40</f>
        <v>106.43835616438355</v>
      </c>
      <c r="C20" s="12"/>
      <c r="D20" s="12"/>
      <c r="E20" s="12"/>
      <c r="F20" s="12"/>
      <c r="G20" s="12"/>
      <c r="H20" s="12"/>
      <c r="I20" s="12"/>
      <c r="J20" s="12"/>
      <c r="K20" s="12"/>
    </row>
    <row r="21" spans="1:11" x14ac:dyDescent="0.2">
      <c r="A21" s="13" t="s">
        <v>118</v>
      </c>
      <c r="B21" s="12">
        <f>Inputs!E69*Inputs!E36</f>
        <v>50</v>
      </c>
      <c r="C21" s="12"/>
      <c r="D21" s="12"/>
      <c r="E21" s="12"/>
      <c r="F21" s="12"/>
      <c r="G21" s="12"/>
      <c r="H21" s="12"/>
      <c r="I21" s="12"/>
      <c r="J21" s="12"/>
      <c r="K21" s="12"/>
    </row>
    <row r="22" spans="1:11" x14ac:dyDescent="0.2">
      <c r="A22" s="13" t="s">
        <v>117</v>
      </c>
      <c r="B22" s="12">
        <f>Inputs!E70*Inputs!E37</f>
        <v>70</v>
      </c>
      <c r="C22" s="12"/>
      <c r="D22" s="12"/>
      <c r="E22" s="12"/>
      <c r="F22" s="12"/>
      <c r="G22" s="12"/>
      <c r="H22" s="12"/>
      <c r="I22" s="12"/>
      <c r="J22" s="12"/>
      <c r="K22" s="12"/>
    </row>
    <row r="23" spans="1:11" ht="38.25" x14ac:dyDescent="0.2">
      <c r="A23" s="13" t="s">
        <v>102</v>
      </c>
      <c r="B23" s="12">
        <f>Inputs!E71*Inputs!E38</f>
        <v>1050</v>
      </c>
      <c r="C23" s="12"/>
      <c r="D23" s="12"/>
      <c r="E23" s="12"/>
      <c r="F23" s="12"/>
      <c r="G23" s="12"/>
      <c r="H23" s="12"/>
      <c r="I23" s="12"/>
      <c r="J23" s="12"/>
      <c r="K23" s="12"/>
    </row>
    <row r="24" spans="1:11" ht="38.25" x14ac:dyDescent="0.2">
      <c r="A24" s="13" t="s">
        <v>159</v>
      </c>
      <c r="B24" s="12">
        <f>Inputs!E72*Inputs!E39</f>
        <v>270</v>
      </c>
      <c r="C24" s="12"/>
      <c r="D24" s="12"/>
      <c r="E24" s="12"/>
      <c r="F24" s="12"/>
      <c r="G24" s="12"/>
      <c r="H24" s="12"/>
      <c r="I24" s="12"/>
      <c r="J24" s="12"/>
      <c r="K24" s="12"/>
    </row>
    <row r="25" spans="1:11" ht="25.5" x14ac:dyDescent="0.2">
      <c r="A25" s="13" t="s">
        <v>472</v>
      </c>
      <c r="B25" s="12">
        <f>Inputs!E73</f>
        <v>2000</v>
      </c>
      <c r="C25" s="12"/>
      <c r="D25" s="12"/>
      <c r="E25" s="12"/>
      <c r="F25" s="12"/>
      <c r="G25" s="12"/>
      <c r="H25" s="12"/>
      <c r="I25" s="12"/>
      <c r="J25" s="12"/>
      <c r="K25" s="12"/>
    </row>
    <row r="26" spans="1:11" x14ac:dyDescent="0.2">
      <c r="A26" s="15" t="s">
        <v>83</v>
      </c>
      <c r="B26" s="8">
        <f>SUM(B27:B33)</f>
        <v>12436.712328767124</v>
      </c>
      <c r="C26" s="8">
        <f t="shared" ref="C26:K26" si="2">SUM(C27:C33)</f>
        <v>0</v>
      </c>
      <c r="D26" s="8">
        <f t="shared" si="2"/>
        <v>0</v>
      </c>
      <c r="E26" s="8">
        <f t="shared" si="2"/>
        <v>0</v>
      </c>
      <c r="F26" s="8">
        <f t="shared" si="2"/>
        <v>0</v>
      </c>
      <c r="G26" s="8">
        <f t="shared" si="2"/>
        <v>0</v>
      </c>
      <c r="H26" s="8">
        <f t="shared" si="2"/>
        <v>0</v>
      </c>
      <c r="I26" s="8">
        <f t="shared" si="2"/>
        <v>0</v>
      </c>
      <c r="J26" s="8">
        <f t="shared" si="2"/>
        <v>0</v>
      </c>
      <c r="K26" s="8">
        <f t="shared" si="2"/>
        <v>0</v>
      </c>
    </row>
    <row r="27" spans="1:11" ht="25.5" x14ac:dyDescent="0.2">
      <c r="A27" s="13" t="s">
        <v>115</v>
      </c>
      <c r="B27" s="16">
        <f>Inputs!E58*Inputs!E33/(365/7)/40</f>
        <v>10643.835616438355</v>
      </c>
      <c r="C27" s="16"/>
      <c r="D27" s="16"/>
      <c r="E27" s="16"/>
      <c r="F27" s="16"/>
      <c r="G27" s="16"/>
      <c r="H27" s="16"/>
      <c r="I27" s="16"/>
      <c r="J27" s="16"/>
      <c r="K27" s="16"/>
    </row>
    <row r="28" spans="1:11" ht="25.5" x14ac:dyDescent="0.2">
      <c r="A28" s="13" t="s">
        <v>116</v>
      </c>
      <c r="B28" s="16">
        <f>Inputs!E59*Inputs!E34/(365/7)/40</f>
        <v>106.43835616438355</v>
      </c>
      <c r="C28" s="16"/>
      <c r="D28" s="16"/>
      <c r="E28" s="16"/>
      <c r="F28" s="16"/>
      <c r="G28" s="16"/>
      <c r="H28" s="16"/>
      <c r="I28" s="16"/>
      <c r="J28" s="16"/>
      <c r="K28" s="16"/>
    </row>
    <row r="29" spans="1:11" x14ac:dyDescent="0.2">
      <c r="A29" s="13" t="s">
        <v>119</v>
      </c>
      <c r="B29" s="16">
        <f>Inputs!E60*Inputs!E35/(365/7)/40</f>
        <v>106.43835616438355</v>
      </c>
      <c r="C29" s="12"/>
      <c r="D29" s="12"/>
      <c r="E29" s="12"/>
      <c r="F29" s="12"/>
      <c r="G29" s="12"/>
      <c r="H29" s="12"/>
      <c r="I29" s="12"/>
      <c r="J29" s="12"/>
      <c r="K29" s="12"/>
    </row>
    <row r="30" spans="1:11" x14ac:dyDescent="0.2">
      <c r="A30" s="13" t="s">
        <v>118</v>
      </c>
      <c r="B30" s="16">
        <f>Inputs!E61*Inputs!E36</f>
        <v>50</v>
      </c>
      <c r="C30" s="12"/>
      <c r="D30" s="12"/>
      <c r="E30" s="12"/>
      <c r="F30" s="12"/>
      <c r="G30" s="12"/>
      <c r="H30" s="12"/>
      <c r="I30" s="12"/>
      <c r="J30" s="12"/>
      <c r="K30" s="12"/>
    </row>
    <row r="31" spans="1:11" x14ac:dyDescent="0.2">
      <c r="A31" s="13" t="s">
        <v>117</v>
      </c>
      <c r="B31" s="16">
        <f>Inputs!E62*Inputs!E37</f>
        <v>210</v>
      </c>
      <c r="C31" s="12"/>
      <c r="D31" s="12"/>
      <c r="E31" s="12"/>
      <c r="F31" s="12"/>
      <c r="G31" s="12"/>
      <c r="H31" s="12"/>
      <c r="I31" s="12"/>
      <c r="J31" s="12"/>
      <c r="K31" s="12"/>
    </row>
    <row r="32" spans="1:11" ht="38.25" x14ac:dyDescent="0.2">
      <c r="A32" s="13" t="s">
        <v>102</v>
      </c>
      <c r="B32" s="16">
        <f>Inputs!E63*Inputs!E38</f>
        <v>1050</v>
      </c>
      <c r="C32" s="12"/>
      <c r="D32" s="12"/>
      <c r="E32" s="12"/>
      <c r="F32" s="12"/>
      <c r="G32" s="12"/>
      <c r="H32" s="12"/>
      <c r="I32" s="12"/>
      <c r="J32" s="12"/>
      <c r="K32" s="12"/>
    </row>
    <row r="33" spans="1:11" ht="38.25" x14ac:dyDescent="0.2">
      <c r="A33" s="13" t="s">
        <v>159</v>
      </c>
      <c r="B33" s="16">
        <f>Inputs!E64*Inputs!E39</f>
        <v>270</v>
      </c>
      <c r="C33" s="12"/>
      <c r="D33" s="12"/>
      <c r="E33" s="12"/>
      <c r="F33" s="12"/>
      <c r="G33" s="12"/>
      <c r="H33" s="12"/>
      <c r="I33" s="12"/>
      <c r="J33" s="12"/>
      <c r="K33" s="12"/>
    </row>
    <row r="34" spans="1:11" x14ac:dyDescent="0.2">
      <c r="A34" s="215" t="s">
        <v>496</v>
      </c>
      <c r="B34" s="8">
        <f>SUM(B35:B36)</f>
        <v>30800</v>
      </c>
      <c r="C34" s="8">
        <f t="shared" ref="C34:K34" si="3">SUM(C35:C36)</f>
        <v>0</v>
      </c>
      <c r="D34" s="8">
        <f t="shared" si="3"/>
        <v>0</v>
      </c>
      <c r="E34" s="8">
        <f t="shared" si="3"/>
        <v>0</v>
      </c>
      <c r="F34" s="8">
        <f t="shared" si="3"/>
        <v>0</v>
      </c>
      <c r="G34" s="8">
        <f t="shared" si="3"/>
        <v>0</v>
      </c>
      <c r="H34" s="8">
        <f t="shared" si="3"/>
        <v>0</v>
      </c>
      <c r="I34" s="8">
        <f t="shared" si="3"/>
        <v>0</v>
      </c>
      <c r="J34" s="8">
        <f t="shared" si="3"/>
        <v>0</v>
      </c>
      <c r="K34" s="8">
        <f t="shared" si="3"/>
        <v>0</v>
      </c>
    </row>
    <row r="35" spans="1:11" ht="25.5" x14ac:dyDescent="0.2">
      <c r="A35" s="13" t="s">
        <v>120</v>
      </c>
      <c r="B35" s="12">
        <f>(Inputs!E48*Inputs!E49)*(Inputs!E50+Inputs!E51+Inputs!E52+Inputs!E53+Inputs!E54)</f>
        <v>28800</v>
      </c>
      <c r="C35" s="12"/>
      <c r="D35" s="12"/>
      <c r="E35" s="12"/>
      <c r="F35" s="12"/>
      <c r="G35" s="12"/>
      <c r="H35" s="12"/>
      <c r="I35" s="12"/>
      <c r="J35" s="12"/>
      <c r="K35" s="12"/>
    </row>
    <row r="36" spans="1:11" ht="25.5" x14ac:dyDescent="0.2">
      <c r="A36" s="13" t="s">
        <v>472</v>
      </c>
      <c r="B36" s="12">
        <f>Inputs!E55</f>
        <v>2000</v>
      </c>
      <c r="C36" s="12"/>
      <c r="D36" s="12"/>
      <c r="E36" s="12"/>
      <c r="F36" s="12"/>
      <c r="G36" s="12"/>
      <c r="H36" s="12"/>
      <c r="I36" s="12"/>
      <c r="J36" s="12"/>
      <c r="K36" s="12"/>
    </row>
    <row r="37" spans="1:11" x14ac:dyDescent="0.2">
      <c r="A37" s="15" t="s">
        <v>197</v>
      </c>
      <c r="B37" s="8">
        <f>SUM(B38)</f>
        <v>30000</v>
      </c>
      <c r="C37" s="8">
        <f t="shared" ref="C37:K37" si="4">SUM(C38)</f>
        <v>0</v>
      </c>
      <c r="D37" s="8">
        <f t="shared" si="4"/>
        <v>0</v>
      </c>
      <c r="E37" s="8">
        <f t="shared" si="4"/>
        <v>0</v>
      </c>
      <c r="F37" s="8">
        <f t="shared" si="4"/>
        <v>0</v>
      </c>
      <c r="G37" s="8">
        <f t="shared" si="4"/>
        <v>0</v>
      </c>
      <c r="H37" s="8">
        <f t="shared" si="4"/>
        <v>0</v>
      </c>
      <c r="I37" s="8">
        <f t="shared" si="4"/>
        <v>0</v>
      </c>
      <c r="J37" s="8">
        <f t="shared" si="4"/>
        <v>0</v>
      </c>
      <c r="K37" s="8">
        <f t="shared" si="4"/>
        <v>0</v>
      </c>
    </row>
    <row r="38" spans="1:11" x14ac:dyDescent="0.2">
      <c r="A38" s="13" t="s">
        <v>197</v>
      </c>
      <c r="B38" s="12">
        <f>Inputs!E57</f>
        <v>30000</v>
      </c>
      <c r="C38" s="12"/>
      <c r="D38" s="12"/>
      <c r="E38" s="12"/>
      <c r="F38" s="12"/>
      <c r="G38" s="12"/>
      <c r="H38" s="12"/>
      <c r="I38" s="12"/>
      <c r="J38" s="12"/>
      <c r="K38" s="12"/>
    </row>
    <row r="39" spans="1:11" x14ac:dyDescent="0.2">
      <c r="A39" s="15" t="s">
        <v>84</v>
      </c>
      <c r="B39" s="8">
        <f>SUM(B40:B41)</f>
        <v>869.1930000000001</v>
      </c>
      <c r="C39" s="8">
        <f t="shared" ref="C39:K39" si="5">SUM(C40:C41)</f>
        <v>869.1930000000001</v>
      </c>
      <c r="D39" s="8">
        <f t="shared" si="5"/>
        <v>869.1930000000001</v>
      </c>
      <c r="E39" s="8">
        <f t="shared" si="5"/>
        <v>869.1930000000001</v>
      </c>
      <c r="F39" s="8">
        <f t="shared" si="5"/>
        <v>869.1930000000001</v>
      </c>
      <c r="G39" s="8">
        <f t="shared" si="5"/>
        <v>0</v>
      </c>
      <c r="H39" s="8">
        <f t="shared" si="5"/>
        <v>0</v>
      </c>
      <c r="I39" s="8">
        <f t="shared" si="5"/>
        <v>0</v>
      </c>
      <c r="J39" s="8">
        <f t="shared" si="5"/>
        <v>0</v>
      </c>
      <c r="K39" s="8">
        <f t="shared" si="5"/>
        <v>0</v>
      </c>
    </row>
    <row r="40" spans="1:11" x14ac:dyDescent="0.2">
      <c r="A40" s="13" t="s">
        <v>130</v>
      </c>
      <c r="B40" s="12">
        <f>IF(Inputs!$E$16&gt;=1,Inputs!$E$17*Inputs!$E$12,0)</f>
        <v>618.93000000000006</v>
      </c>
      <c r="C40" s="12">
        <f>IF(Inputs!$E$16&gt;=2,Inputs!$E$17*Inputs!$E$12,0)</f>
        <v>618.93000000000006</v>
      </c>
      <c r="D40" s="12">
        <f>IF(Inputs!$E$16&gt;=3,Inputs!$E$17*Inputs!$E$12,0)</f>
        <v>618.93000000000006</v>
      </c>
      <c r="E40" s="12">
        <f>IF(Inputs!$E$16&gt;=4,Inputs!$E$17*Inputs!$E$12,0)</f>
        <v>618.93000000000006</v>
      </c>
      <c r="F40" s="12">
        <f>IF(Inputs!$E$16&gt;=5,Inputs!$E$17*Inputs!$E$12,0)</f>
        <v>618.93000000000006</v>
      </c>
      <c r="G40" s="12">
        <f>IF(Inputs!$E$16&gt;=6,Inputs!$E$17*Inputs!$E$12,0)</f>
        <v>0</v>
      </c>
      <c r="H40" s="12">
        <f>IF(Inputs!$E$16&gt;=7,Inputs!$E$17*Inputs!$E$12,0)</f>
        <v>0</v>
      </c>
      <c r="I40" s="12">
        <f>IF(Inputs!$E$16&gt;=8,Inputs!$E$17*Inputs!$E$12,0)</f>
        <v>0</v>
      </c>
      <c r="J40" s="12">
        <f>IF(Inputs!$E$16&gt;=9,Inputs!$E$17*Inputs!$E$12,0)</f>
        <v>0</v>
      </c>
      <c r="K40" s="12">
        <f>IF(Inputs!$E$16&gt;=10,Inputs!$E$17*Inputs!$E$12,0)</f>
        <v>0</v>
      </c>
    </row>
    <row r="41" spans="1:11" x14ac:dyDescent="0.2">
      <c r="A41" s="13" t="s">
        <v>131</v>
      </c>
      <c r="B41" s="12">
        <f>IF(Inputs!$E$21&gt;=1,Inputs!$E$22*Inputs!$E$12,0)</f>
        <v>250.26300000000001</v>
      </c>
      <c r="C41" s="12">
        <f>IF(Inputs!$E$21&gt;=2,Inputs!$E$22*Inputs!$E$12,0)</f>
        <v>250.26300000000001</v>
      </c>
      <c r="D41" s="12">
        <f>IF(Inputs!$E$21&gt;=3,Inputs!$E$22*Inputs!$E$12,0)</f>
        <v>250.26300000000001</v>
      </c>
      <c r="E41" s="12">
        <f>IF(Inputs!$E$21&gt;=4,Inputs!$E$22*Inputs!$E$12,0)</f>
        <v>250.26300000000001</v>
      </c>
      <c r="F41" s="12">
        <f>IF(Inputs!$E$21&gt;=5,Inputs!$E$22*Inputs!$E$12,0)</f>
        <v>250.26300000000001</v>
      </c>
      <c r="G41" s="12">
        <f>IF(Inputs!$E$21&gt;=6,Inputs!$E$22*Inputs!$E$12,0)</f>
        <v>0</v>
      </c>
      <c r="H41" s="12">
        <f>IF(Inputs!$E$21&gt;=7,Inputs!$E$22*Inputs!$E$12,0)</f>
        <v>0</v>
      </c>
      <c r="I41" s="12">
        <f>IF(Inputs!$E$21&gt;=8,Inputs!$E$22*Inputs!$E$12,0)</f>
        <v>0</v>
      </c>
      <c r="J41" s="12">
        <f>IF(Inputs!$E$21&gt;=9,Inputs!$E$22*Inputs!$E$12,0)</f>
        <v>0</v>
      </c>
      <c r="K41" s="12">
        <f>IF(Inputs!$E$21&gt;=10,Inputs!$E$22*Inputs!$E$12,0)</f>
        <v>0</v>
      </c>
    </row>
    <row r="42" spans="1:11" x14ac:dyDescent="0.2">
      <c r="A42" s="17"/>
    </row>
    <row r="43" spans="1:11" x14ac:dyDescent="0.2">
      <c r="A43" s="18" t="s">
        <v>162</v>
      </c>
      <c r="B43" s="19" t="s">
        <v>88</v>
      </c>
      <c r="C43" s="19" t="s">
        <v>89</v>
      </c>
      <c r="D43" s="19" t="s">
        <v>90</v>
      </c>
      <c r="E43" s="19" t="s">
        <v>91</v>
      </c>
      <c r="F43" s="19" t="s">
        <v>92</v>
      </c>
      <c r="G43" s="19" t="s">
        <v>93</v>
      </c>
      <c r="H43" s="19" t="s">
        <v>94</v>
      </c>
      <c r="I43" s="19" t="s">
        <v>95</v>
      </c>
      <c r="J43" s="19" t="s">
        <v>96</v>
      </c>
      <c r="K43" s="19" t="s">
        <v>97</v>
      </c>
    </row>
    <row r="44" spans="1:11" x14ac:dyDescent="0.2">
      <c r="A44" s="20" t="s">
        <v>191</v>
      </c>
      <c r="B44" s="21">
        <f>B7+B17+B26+B34+B37+B39</f>
        <v>96752.735074363998</v>
      </c>
      <c r="C44" s="21">
        <f t="shared" ref="C44:K44" si="6">C7+C17+C26+C34+C37+C39</f>
        <v>15712.050142857142</v>
      </c>
      <c r="D44" s="21">
        <f t="shared" si="6"/>
        <v>15712.050142857142</v>
      </c>
      <c r="E44" s="21">
        <f t="shared" si="6"/>
        <v>15712.050142857142</v>
      </c>
      <c r="F44" s="21">
        <f t="shared" si="6"/>
        <v>15712.050142857142</v>
      </c>
      <c r="G44" s="21">
        <f t="shared" si="6"/>
        <v>14842.857142857143</v>
      </c>
      <c r="H44" s="21">
        <f t="shared" si="6"/>
        <v>14842.857142857143</v>
      </c>
      <c r="I44" s="21">
        <f t="shared" si="6"/>
        <v>0</v>
      </c>
      <c r="J44" s="21">
        <f t="shared" si="6"/>
        <v>0</v>
      </c>
      <c r="K44" s="21">
        <f t="shared" si="6"/>
        <v>0</v>
      </c>
    </row>
    <row r="45" spans="1:11" x14ac:dyDescent="0.2">
      <c r="A45" s="20" t="s">
        <v>192</v>
      </c>
      <c r="B45" s="22">
        <f>B44</f>
        <v>96752.735074363998</v>
      </c>
      <c r="C45" s="22">
        <f t="shared" ref="C45:K45" si="7">B45+C44</f>
        <v>112464.78521722114</v>
      </c>
      <c r="D45" s="22">
        <f t="shared" si="7"/>
        <v>128176.83536007829</v>
      </c>
      <c r="E45" s="22">
        <f t="shared" si="7"/>
        <v>143888.88550293542</v>
      </c>
      <c r="F45" s="22">
        <f t="shared" si="7"/>
        <v>159600.93564579255</v>
      </c>
      <c r="G45" s="22">
        <f t="shared" si="7"/>
        <v>174443.79278864968</v>
      </c>
      <c r="H45" s="22">
        <f t="shared" si="7"/>
        <v>189286.64993150681</v>
      </c>
      <c r="I45" s="22">
        <f t="shared" si="7"/>
        <v>189286.64993150681</v>
      </c>
      <c r="J45" s="22">
        <f t="shared" si="7"/>
        <v>189286.64993150681</v>
      </c>
      <c r="K45" s="22">
        <f t="shared" si="7"/>
        <v>189286.64993150681</v>
      </c>
    </row>
  </sheetData>
  <mergeCells count="1">
    <mergeCell ref="A6:B6"/>
  </mergeCells>
  <phoneticPr fontId="0" type="noConversion"/>
  <printOptions gridLines="1" gridLinesSet="0"/>
  <pageMargins left="0.5" right="0.5" top="1" bottom="1" header="0.5" footer="0.5"/>
  <pageSetup orientation="landscape" r:id="rId1"/>
  <headerFooter alignWithMargins="0">
    <oddHeader>&amp;CAnnualized Fixed Costs for Calculating COO of Gas Delivery Systems</oddHeader>
    <oddFooter>&amp;LRefer to SEMI Document xxxx&amp;CPage &amp;P&amp;RCreated 06/25/99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heetViews>
  <sheetFormatPr defaultColWidth="9.140625" defaultRowHeight="12.75" x14ac:dyDescent="0.2"/>
  <cols>
    <col min="1" max="1" width="26.28515625" style="6" customWidth="1"/>
    <col min="2" max="11" width="10.5703125" style="6" customWidth="1"/>
    <col min="12" max="16384" width="9.140625" style="6"/>
  </cols>
  <sheetData>
    <row r="1" spans="1:11" x14ac:dyDescent="0.2">
      <c r="A1" s="6" t="s">
        <v>16</v>
      </c>
    </row>
    <row r="2" spans="1:11" x14ac:dyDescent="0.2">
      <c r="A2" s="6" t="s">
        <v>190</v>
      </c>
    </row>
    <row r="3" spans="1:11" x14ac:dyDescent="0.2">
      <c r="A3" s="6" t="s">
        <v>17</v>
      </c>
    </row>
    <row r="5" spans="1:11" x14ac:dyDescent="0.2">
      <c r="A5" s="23" t="s">
        <v>132</v>
      </c>
    </row>
    <row r="6" spans="1:11" x14ac:dyDescent="0.2">
      <c r="B6" s="9" t="s">
        <v>88</v>
      </c>
      <c r="C6" s="9" t="s">
        <v>89</v>
      </c>
      <c r="D6" s="9" t="s">
        <v>90</v>
      </c>
      <c r="E6" s="9" t="s">
        <v>91</v>
      </c>
      <c r="F6" s="9" t="s">
        <v>92</v>
      </c>
      <c r="G6" s="9" t="s">
        <v>93</v>
      </c>
      <c r="H6" s="9" t="s">
        <v>94</v>
      </c>
      <c r="I6" s="9" t="s">
        <v>95</v>
      </c>
      <c r="J6" s="9" t="s">
        <v>96</v>
      </c>
      <c r="K6" s="9" t="s">
        <v>97</v>
      </c>
    </row>
    <row r="7" spans="1:11" x14ac:dyDescent="0.2">
      <c r="A7" s="7" t="s">
        <v>133</v>
      </c>
      <c r="B7" s="24">
        <f>SUM(B8:B11)</f>
        <v>2137.7311135714285</v>
      </c>
      <c r="C7" s="24">
        <f t="shared" ref="C7:K7" si="0">SUM(C8:C11)</f>
        <v>2201.8630469785717</v>
      </c>
      <c r="D7" s="24">
        <f t="shared" si="0"/>
        <v>2267.9189383879284</v>
      </c>
      <c r="E7" s="24">
        <f t="shared" si="0"/>
        <v>2335.9565065395664</v>
      </c>
      <c r="F7" s="24">
        <f t="shared" si="0"/>
        <v>2406.0352017357536</v>
      </c>
      <c r="G7" s="24">
        <f t="shared" si="0"/>
        <v>2478.2162577878257</v>
      </c>
      <c r="H7" s="24">
        <f t="shared" si="0"/>
        <v>2552.5627455214603</v>
      </c>
      <c r="I7" s="24">
        <f t="shared" si="0"/>
        <v>2629.1396278871048</v>
      </c>
      <c r="J7" s="24">
        <f t="shared" si="0"/>
        <v>2708.0138167237178</v>
      </c>
      <c r="K7" s="24">
        <f t="shared" si="0"/>
        <v>2789.2542312254291</v>
      </c>
    </row>
    <row r="8" spans="1:11" x14ac:dyDescent="0.2">
      <c r="A8" s="25" t="s">
        <v>474</v>
      </c>
      <c r="B8" s="26">
        <f>Inputs!$E$79*Inputs!$E$26*Inputs!$E$31*Inputs!$E$30*'Equipment Total Utilization'!B20</f>
        <v>142.51540757142854</v>
      </c>
      <c r="C8" s="26">
        <f>(Inputs!$E$79*Inputs!$E$26*Inputs!$E$31*Inputs!$E$30*'Equipment Total Utilization'!B20)*(1+Inputs!$E$32)</f>
        <v>146.79086979857141</v>
      </c>
      <c r="D8" s="26">
        <f>(Inputs!$E$79*Inputs!$E$26*Inputs!$E$31*Inputs!$E$30*'Equipment Total Utilization'!B20)*(1+Inputs!$E$32)^2</f>
        <v>151.19459589252853</v>
      </c>
      <c r="E8" s="26">
        <f>(Inputs!$E$79*Inputs!$E$26*Inputs!$E$31*Inputs!$E$30*'Equipment Total Utilization'!B20)*(1+Inputs!$E$32)^3</f>
        <v>155.7304337693044</v>
      </c>
      <c r="F8" s="26">
        <f>(Inputs!$E$79*Inputs!$E$26*Inputs!$E$31*Inputs!$E$30*'Equipment Total Utilization'!B20)*(1+Inputs!$E$32)^4</f>
        <v>160.40234678238352</v>
      </c>
      <c r="G8" s="26">
        <f>(Inputs!$E$79*Inputs!$E$26*Inputs!$E$31*Inputs!$E$30*'Equipment Total Utilization'!B20)*(1+Inputs!$E$32)^5</f>
        <v>165.21441718585501</v>
      </c>
      <c r="H8" s="26">
        <f>(Inputs!$E$79*Inputs!$E$26*Inputs!$E$31*Inputs!$E$30*'Equipment Total Utilization'!B20)*(1+Inputs!$E$32)^6</f>
        <v>170.17084970143068</v>
      </c>
      <c r="I8" s="26">
        <f>(Inputs!$E$79*Inputs!$E$26*Inputs!$E$31*Inputs!$E$30*'Equipment Total Utilization'!B20)*(1+Inputs!$E$32)^7</f>
        <v>175.2759751924736</v>
      </c>
      <c r="J8" s="26">
        <f>(Inputs!$E$79*Inputs!$E$26*Inputs!$E$31*Inputs!$E$30*'Equipment Total Utilization'!B20)*(1+Inputs!$E$32)^8</f>
        <v>180.53425444824779</v>
      </c>
      <c r="K8" s="26">
        <f>(Inputs!$E$79*Inputs!$E$26*Inputs!$E$31*Inputs!$E$30*'Equipment Total Utilization'!B20)*(1+Inputs!$E$32)^9</f>
        <v>185.95028208169524</v>
      </c>
    </row>
    <row r="9" spans="1:11" x14ac:dyDescent="0.2">
      <c r="A9" s="25" t="s">
        <v>140</v>
      </c>
      <c r="B9" s="26">
        <f>(Inputs!$E$80*Inputs!$E$40*'Equipment Total Utilization'!B20+Inputs!$E$81*Inputs!$E$41+Inputs!$E$82*Inputs!$E$42)*Inputs!$E$26*Inputs!$E$31</f>
        <v>1909.706461457143</v>
      </c>
      <c r="C9" s="26">
        <f>((Inputs!$E$80*Inputs!$E$40*'Equipment Total Utilization'!B20+Inputs!$E$81*Inputs!$E$41+Inputs!$E$82*Inputs!$E$42)*Inputs!$E$26*Inputs!$E$31)*(1+Inputs!$E$32)</f>
        <v>1966.9976553008573</v>
      </c>
      <c r="D9" s="26">
        <f>((Inputs!$E$80*Inputs!$E$40*'Equipment Total Utilization'!B20+Inputs!$E$81*Inputs!$E$41+Inputs!$E$82*Inputs!$E$42)*Inputs!$E$26*Inputs!$E$31)*(1+Inputs!$E$32)^2</f>
        <v>2026.0075849598829</v>
      </c>
      <c r="E9" s="26">
        <f>((Inputs!$E$80*Inputs!$E$40*'Equipment Total Utilization'!B20+Inputs!$E$81*Inputs!$E$41+Inputs!$E$82*Inputs!$E$42)*Inputs!$E$26*Inputs!$E$31)*(1+Inputs!$E$32)^3</f>
        <v>2086.7878125086795</v>
      </c>
      <c r="F9" s="26">
        <f>((Inputs!$E$80*Inputs!$E$40*'Equipment Total Utilization'!B20+Inputs!$E$81*Inputs!$E$41+Inputs!$E$82*Inputs!$E$42)*Inputs!$E$26*Inputs!$E$31)*(1+Inputs!$E$32)^4</f>
        <v>2149.3914468839398</v>
      </c>
      <c r="G9" s="26">
        <f>((Inputs!$E$80*Inputs!$E$40*'Equipment Total Utilization'!B20+Inputs!$E$81*Inputs!$E$41+Inputs!$E$82*Inputs!$E$42)*Inputs!$E$26*Inputs!$E$31)*(1+Inputs!$E$32)^5</f>
        <v>2213.8731902904578</v>
      </c>
      <c r="H9" s="26">
        <f>((Inputs!$E$80*Inputs!$E$40*'Equipment Total Utilization'!B20+Inputs!$E$81*Inputs!$E$41+Inputs!$E$82*Inputs!$E$42)*Inputs!$E$26*Inputs!$E$31)*(1+Inputs!$E$32)^6</f>
        <v>2280.2893859991714</v>
      </c>
      <c r="I9" s="26">
        <f>((Inputs!$E$80*Inputs!$E$40*'Equipment Total Utilization'!B20+Inputs!$E$81*Inputs!$E$41+Inputs!$E$82*Inputs!$E$42)*Inputs!$E$26*Inputs!$E$31)*(1+Inputs!$E$32)^7</f>
        <v>2348.6980675791469</v>
      </c>
      <c r="J9" s="26">
        <f>((Inputs!$E$80*Inputs!$E$40*'Equipment Total Utilization'!B20+Inputs!$E$81*Inputs!$E$41+Inputs!$E$82*Inputs!$E$42)*Inputs!$E$26*Inputs!$E$31)*(1+Inputs!$E$32)^8</f>
        <v>2419.1590096065211</v>
      </c>
      <c r="K9" s="26">
        <f>((Inputs!$E$80*Inputs!$E$40*'Equipment Total Utilization'!B20+Inputs!$E$81*Inputs!$E$41+Inputs!$E$82*Inputs!$E$42)*Inputs!$E$26*Inputs!$E$31)*(1+Inputs!$E$32)^9</f>
        <v>2491.7337798947169</v>
      </c>
    </row>
    <row r="10" spans="1:11" x14ac:dyDescent="0.2">
      <c r="A10" s="180" t="s">
        <v>397</v>
      </c>
      <c r="B10" s="27">
        <f>Inputs!$E$77*Inputs!$E$43*Inputs!$E$26*Inputs!$E$31*'Equipment Total Utilization'!B20</f>
        <v>28.503081514285714</v>
      </c>
      <c r="C10" s="27">
        <f>(Inputs!$E$77*Inputs!$E$43*Inputs!$E$26*Inputs!$E$31*'Equipment Total Utilization'!B20)*(1+Inputs!$E$32)</f>
        <v>29.358173959714286</v>
      </c>
      <c r="D10" s="27">
        <f>(Inputs!$E$77*Inputs!$E$43*Inputs!$E$26*Inputs!$E$31*'Equipment Total Utilization'!B20)*(1+Inputs!$E$32)^2</f>
        <v>30.238919178505714</v>
      </c>
      <c r="E10" s="27">
        <f>(Inputs!$E$77*Inputs!$E$43*Inputs!$E$26*Inputs!$E$31*'Equipment Total Utilization'!B20)*(1+Inputs!$E$32)^3</f>
        <v>31.146086753860885</v>
      </c>
      <c r="F10" s="27">
        <f>(Inputs!$E$77*Inputs!$E$43*Inputs!$E$26*Inputs!$E$31*'Equipment Total Utilization'!B20)*(1+Inputs!$E$32)^4</f>
        <v>32.080469356476712</v>
      </c>
      <c r="G10" s="27">
        <f>(Inputs!$E$77*Inputs!$E$43*Inputs!$E$26*Inputs!$E$31*'Equipment Total Utilization'!B20)*(1+Inputs!$E$32)^5</f>
        <v>33.042883437171007</v>
      </c>
      <c r="H10" s="27">
        <f>(Inputs!$E$77*Inputs!$E$43*Inputs!$E$26*Inputs!$E$31*'Equipment Total Utilization'!B20)*(1+Inputs!$E$32)^6</f>
        <v>34.034169940286141</v>
      </c>
      <c r="I10" s="27">
        <f>(Inputs!$E$77*Inputs!$E$43*Inputs!$E$26*Inputs!$E$31*'Equipment Total Utilization'!B20)*(1+Inputs!$E$32)^7</f>
        <v>35.05519503849473</v>
      </c>
      <c r="J10" s="27">
        <f>(Inputs!$E$77*Inputs!$E$43*Inputs!$E$26*Inputs!$E$31*'Equipment Total Utilization'!B20)*(1+Inputs!$E$32)^8</f>
        <v>36.106850889649564</v>
      </c>
      <c r="K10" s="27">
        <f>(Inputs!$E$77*Inputs!$E$43*Inputs!$E$26*Inputs!$E$31*'Equipment Total Utilization'!B20)*(1+Inputs!$E$32)^9</f>
        <v>37.190056416339054</v>
      </c>
    </row>
    <row r="11" spans="1:11" x14ac:dyDescent="0.2">
      <c r="A11" s="10" t="s">
        <v>141</v>
      </c>
      <c r="B11" s="27">
        <f>Inputs!$E$78*Inputs!$E$26*Inputs!$E$31*Inputs!$E$44*'Equipment Total Utilization'!B20</f>
        <v>57.006163028571429</v>
      </c>
      <c r="C11" s="27">
        <f>(Inputs!$E$78*Inputs!$E$26*Inputs!$E$31*Inputs!$E$44*'Equipment Total Utilization'!B20)*(1+Inputs!$E$32)</f>
        <v>58.716347919428571</v>
      </c>
      <c r="D11" s="27">
        <f>(Inputs!$E$78*Inputs!$E$26*Inputs!$E$31*Inputs!$E$44*'Equipment Total Utilization'!B20)*(1+Inputs!$E$32)^2</f>
        <v>60.477838357011429</v>
      </c>
      <c r="E11" s="27">
        <f>(Inputs!$E$78*Inputs!$E$26*Inputs!$E$31*Inputs!$E$44*'Equipment Total Utilization'!B20)*(1+Inputs!$E$32)^3</f>
        <v>62.29217350772177</v>
      </c>
      <c r="F11" s="27">
        <f>(Inputs!$E$78*Inputs!$E$26*Inputs!$E$31*Inputs!$E$44*'Equipment Total Utilization'!B20)*(1+Inputs!$E$32)^4</f>
        <v>64.160938712953424</v>
      </c>
      <c r="G11" s="27">
        <f>(Inputs!$E$78*Inputs!$E$26*Inputs!$E$31*Inputs!$E$44*'Equipment Total Utilization'!B20)*(1+Inputs!$E$32)^5</f>
        <v>66.085766874342013</v>
      </c>
      <c r="H11" s="27">
        <f>(Inputs!$E$78*Inputs!$E$26*Inputs!$E$31*Inputs!$E$44*'Equipment Total Utilization'!B20)*(1+Inputs!$E$32)^6</f>
        <v>68.068339880572282</v>
      </c>
      <c r="I11" s="27">
        <f>(Inputs!$E$78*Inputs!$E$26*Inputs!$E$31*Inputs!$E$44*'Equipment Total Utilization'!B20)*(1+Inputs!$E$32)^7</f>
        <v>70.110390076989461</v>
      </c>
      <c r="J11" s="27">
        <f>(Inputs!$E$78*Inputs!$E$26*Inputs!$E$31*Inputs!$E$44*'Equipment Total Utilization'!B20)*(1+Inputs!$E$32)^8</f>
        <v>72.213701779299129</v>
      </c>
      <c r="K11" s="27">
        <f>(Inputs!$E$78*Inputs!$E$26*Inputs!$E$31*Inputs!$E$44*'Equipment Total Utilization'!B20)*(1+Inputs!$E$32)^9</f>
        <v>74.380112832678108</v>
      </c>
    </row>
    <row r="12" spans="1:11" x14ac:dyDescent="0.2">
      <c r="A12" s="179" t="s">
        <v>395</v>
      </c>
      <c r="B12" s="24">
        <f>SUM(B13)</f>
        <v>960</v>
      </c>
      <c r="C12" s="24">
        <f t="shared" ref="C12:K12" si="1">SUM(C13)</f>
        <v>988.80000000000007</v>
      </c>
      <c r="D12" s="24">
        <f t="shared" si="1"/>
        <v>1018.4639999999999</v>
      </c>
      <c r="E12" s="24">
        <f t="shared" si="1"/>
        <v>1049.01792</v>
      </c>
      <c r="F12" s="24">
        <f t="shared" si="1"/>
        <v>1080.4884575999999</v>
      </c>
      <c r="G12" s="24">
        <f t="shared" si="1"/>
        <v>1112.9031113279998</v>
      </c>
      <c r="H12" s="24">
        <f t="shared" si="1"/>
        <v>1146.2902046678398</v>
      </c>
      <c r="I12" s="24">
        <f t="shared" si="1"/>
        <v>1180.6789108078751</v>
      </c>
      <c r="J12" s="24">
        <f t="shared" si="1"/>
        <v>1216.0992781321113</v>
      </c>
      <c r="K12" s="24">
        <f t="shared" si="1"/>
        <v>1252.5822564760747</v>
      </c>
    </row>
    <row r="13" spans="1:11" x14ac:dyDescent="0.2">
      <c r="A13" s="10" t="s">
        <v>395</v>
      </c>
      <c r="B13" s="27">
        <f>IF(Inputs!$E$85&lt;Inputs!$E$16,Inputs!$E$84/Inputs!$E$16*ROUNDUP((Inputs!$E$16-Inputs!$E$85)/Inputs!$E$85,0),0)</f>
        <v>960</v>
      </c>
      <c r="C13" s="27">
        <f>(IF(Inputs!$E$85&lt;Inputs!$E$16,Inputs!$E$84/Inputs!$E$16*ROUNDUP((Inputs!$E$16-Inputs!$E$85)/Inputs!$E$85,0),0))*(1+Inputs!$E$32)</f>
        <v>988.80000000000007</v>
      </c>
      <c r="D13" s="27">
        <f>(IF(Inputs!$E$85&lt;Inputs!$E$16,Inputs!$E$84/Inputs!$E$16*ROUNDUP((Inputs!$E$16-Inputs!$E$85)/Inputs!$E$85,0),0))*(1+Inputs!$E$32)^2</f>
        <v>1018.4639999999999</v>
      </c>
      <c r="E13" s="27">
        <f>(IF(Inputs!$E$85&lt;Inputs!$E$16,Inputs!$E$84/Inputs!$E$16*ROUNDUP((Inputs!$E$16-Inputs!$E$85)/Inputs!$E$85,0),0))*(1+Inputs!$E$32)^3</f>
        <v>1049.01792</v>
      </c>
      <c r="F13" s="27">
        <f>(IF(Inputs!$E$85&lt;Inputs!$E$16,Inputs!$E$84/Inputs!$E$16*ROUNDUP((Inputs!$E$16-Inputs!$E$85)/Inputs!$E$85,0),0))*(1+Inputs!$E$32)^4</f>
        <v>1080.4884575999999</v>
      </c>
      <c r="G13" s="27">
        <f>(IF(Inputs!$E$85&lt;Inputs!$E$16,Inputs!$E$84/Inputs!$E$16*ROUNDUP((Inputs!$E$16-Inputs!$E$85)/Inputs!$E$85,0),0))*(1+Inputs!$E$32)^5</f>
        <v>1112.9031113279998</v>
      </c>
      <c r="H13" s="27">
        <f>(IF(Inputs!$E$85&lt;Inputs!$E$16,Inputs!$E$84/Inputs!$E$16*ROUNDUP((Inputs!$E$16-Inputs!$E$85)/Inputs!$E$85,0),0))*(1+Inputs!$E$32)^6</f>
        <v>1146.2902046678398</v>
      </c>
      <c r="I13" s="27">
        <f>(IF(Inputs!$E$85&lt;Inputs!$E$16,Inputs!$E$84/Inputs!$E$16*ROUNDUP((Inputs!$E$16-Inputs!$E$85)/Inputs!$E$85,0),0))*(1+Inputs!$E$32)^7</f>
        <v>1180.6789108078751</v>
      </c>
      <c r="J13" s="27">
        <f>(IF(Inputs!$E$85&lt;Inputs!$E$16,Inputs!$E$84/Inputs!$E$16*ROUNDUP((Inputs!$E$16-Inputs!$E$85)/Inputs!$E$85,0),0))*(1+Inputs!$E$32)^8</f>
        <v>1216.0992781321113</v>
      </c>
      <c r="K13" s="27">
        <f>(IF(Inputs!$E$85&lt;Inputs!$E$16,Inputs!$E$84/Inputs!$E$16*ROUNDUP((Inputs!$E$16-Inputs!$E$85)/Inputs!$E$85,0),0))*(1+Inputs!$E$32)^9</f>
        <v>1252.5822564760747</v>
      </c>
    </row>
    <row r="14" spans="1:11" x14ac:dyDescent="0.2">
      <c r="A14" s="7" t="s">
        <v>134</v>
      </c>
      <c r="B14" s="24">
        <f>SUM(B15:B19)</f>
        <v>37697.04338214286</v>
      </c>
      <c r="C14" s="24">
        <f t="shared" ref="C14:K14" si="2">SUM(C15:C19)</f>
        <v>38827.954683607139</v>
      </c>
      <c r="D14" s="24">
        <f t="shared" si="2"/>
        <v>39992.793324115359</v>
      </c>
      <c r="E14" s="24">
        <f t="shared" si="2"/>
        <v>41192.577123838819</v>
      </c>
      <c r="F14" s="24">
        <f t="shared" si="2"/>
        <v>42428.354437553979</v>
      </c>
      <c r="G14" s="24">
        <f t="shared" si="2"/>
        <v>43701.205070680597</v>
      </c>
      <c r="H14" s="24">
        <f t="shared" si="2"/>
        <v>45012.241222801014</v>
      </c>
      <c r="I14" s="24">
        <f t="shared" si="2"/>
        <v>46362.608459485047</v>
      </c>
      <c r="J14" s="24">
        <f t="shared" si="2"/>
        <v>47753.486713269594</v>
      </c>
      <c r="K14" s="24">
        <f t="shared" si="2"/>
        <v>49186.091314667683</v>
      </c>
    </row>
    <row r="15" spans="1:11" x14ac:dyDescent="0.2">
      <c r="A15" s="10" t="s">
        <v>135</v>
      </c>
      <c r="B15" s="27">
        <f>Inputs!$E$31*'Equipment Total Utilization'!B20/Inputs!$E$102*(((Inputs!$E$126+Inputs!$E$134)*Inputs!$E$33/(365/7)/40)+((Inputs!$E$127+Inputs!$E$135)*Inputs!$E$34/(365/7)/40)+((Inputs!$E$128+Inputs!$E$136)*Inputs!$E$35/(365/7)/40)+((Inputs!$E$129+Inputs!$E$137)*Inputs!$E$36)+((Inputs!$E$130+Inputs!$E$138)*Inputs!$E$37)+((Inputs!$E$131+Inputs!$E$139)*Inputs!$E$38)+((Inputs!$E$132+Inputs!$E$140)*Inputs!$E$39))</f>
        <v>4847.2113137755096</v>
      </c>
      <c r="C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f>
        <v>4992.6276531887752</v>
      </c>
      <c r="D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2</f>
        <v>5142.4064827844377</v>
      </c>
      <c r="E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3</f>
        <v>5296.6786772679716</v>
      </c>
      <c r="F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4</f>
        <v>5455.5790375860097</v>
      </c>
      <c r="G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5</f>
        <v>5619.2464087135895</v>
      </c>
      <c r="H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6</f>
        <v>5787.8238009749975</v>
      </c>
      <c r="I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7</f>
        <v>5961.4585150042485</v>
      </c>
      <c r="J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8</f>
        <v>6140.3022704543746</v>
      </c>
      <c r="K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9</f>
        <v>6324.5113385680061</v>
      </c>
    </row>
    <row r="16" spans="1:11" x14ac:dyDescent="0.2">
      <c r="A16" s="10" t="s">
        <v>142</v>
      </c>
      <c r="B16" s="27">
        <f>Inputs!$E$112</f>
        <v>3800</v>
      </c>
      <c r="C16" s="27">
        <f>(Inputs!$E$112)*(1+Inputs!$E$32)</f>
        <v>3914</v>
      </c>
      <c r="D16" s="27">
        <f>(Inputs!$E$112)*(1+Inputs!$E$32)^2</f>
        <v>4031.4199999999996</v>
      </c>
      <c r="E16" s="27">
        <f>(Inputs!$E$112)*(1+Inputs!$E$32)^3</f>
        <v>4152.3626000000004</v>
      </c>
      <c r="F16" s="27">
        <f>(Inputs!$E$112)*(1+Inputs!$E$32)^4</f>
        <v>4276.9334779999999</v>
      </c>
      <c r="G16" s="27">
        <f>(Inputs!$E$112)*(1+Inputs!$E$32)^5</f>
        <v>4405.2414823399995</v>
      </c>
      <c r="H16" s="27">
        <f>(Inputs!$E$112)*(1+Inputs!$E$32)^6</f>
        <v>4537.3987268102001</v>
      </c>
      <c r="I16" s="27">
        <f>(Inputs!$E$112)*(1+Inputs!$E$32)^7</f>
        <v>4673.5206886145061</v>
      </c>
      <c r="J16" s="27">
        <f>(Inputs!$E$112)*(1+Inputs!$E$32)^8</f>
        <v>4813.7263092729409</v>
      </c>
      <c r="K16" s="27">
        <f>(Inputs!$E$112)*(1+Inputs!$E$32)^9</f>
        <v>4958.1380985511287</v>
      </c>
    </row>
    <row r="17" spans="1:11" x14ac:dyDescent="0.2">
      <c r="A17" s="10" t="s">
        <v>143</v>
      </c>
      <c r="B17" s="27">
        <f>Inputs!$E$31*'Equipment Total Utilization'!B20/Inputs!$E$102*(Inputs!$E$113+Inputs!$E$114*Inputs!$E$40+Inputs!$E$141*Inputs!$E$30+Inputs!$E$142)</f>
        <v>1449.8320683673469</v>
      </c>
      <c r="C17" s="27">
        <f>(Inputs!$E$31*'Equipment Total Utilization'!B20/Inputs!$E$102*(Inputs!$E$113+Inputs!$E$114*Inputs!$E$40+Inputs!$E$141*Inputs!$E$30+Inputs!$E$142))*(1+Inputs!$E$32)</f>
        <v>1493.3270304183673</v>
      </c>
      <c r="D17" s="27">
        <f>(Inputs!$E$31*'Equipment Total Utilization'!B20/Inputs!$E$102*(Inputs!$E$113+Inputs!$E$114*Inputs!$E$40+Inputs!$E$141*Inputs!$E$30+Inputs!$E$142))*(1+Inputs!$E$32)^2</f>
        <v>1538.1268413309183</v>
      </c>
      <c r="E17" s="27">
        <f>(Inputs!$E$31*'Equipment Total Utilization'!B20/Inputs!$E$102*(Inputs!$E$113+Inputs!$E$114*Inputs!$E$40+Inputs!$E$141*Inputs!$E$30+Inputs!$E$142))*(1+Inputs!$E$32)^3</f>
        <v>1584.2706465708459</v>
      </c>
      <c r="F17" s="27">
        <f>(Inputs!$E$31*'Equipment Total Utilization'!B20/Inputs!$E$102*(Inputs!$E$113+Inputs!$E$114*Inputs!$E$40+Inputs!$E$141*Inputs!$E$30+Inputs!$E$142))*(1+Inputs!$E$32)^4</f>
        <v>1631.7987659679711</v>
      </c>
      <c r="G17" s="27">
        <f>(Inputs!$E$31*'Equipment Total Utilization'!B20/Inputs!$E$102*(Inputs!$E$113+Inputs!$E$114*Inputs!$E$40+Inputs!$E$141*Inputs!$E$30+Inputs!$E$142))*(1+Inputs!$E$32)^5</f>
        <v>1680.7527289470102</v>
      </c>
      <c r="H17" s="27">
        <f>(Inputs!$E$31*'Equipment Total Utilization'!B20/Inputs!$E$102*(Inputs!$E$113+Inputs!$E$114*Inputs!$E$40+Inputs!$E$141*Inputs!$E$30+Inputs!$E$142))*(1+Inputs!$E$32)^6</f>
        <v>1731.1753108154205</v>
      </c>
      <c r="I17" s="27">
        <f>(Inputs!$E$31*'Equipment Total Utilization'!B20/Inputs!$E$102*(Inputs!$E$113+Inputs!$E$114*Inputs!$E$40+Inputs!$E$141*Inputs!$E$30+Inputs!$E$142))*(1+Inputs!$E$32)^7</f>
        <v>1783.1105701398833</v>
      </c>
      <c r="J17" s="27">
        <f>(Inputs!$E$31*'Equipment Total Utilization'!B20/Inputs!$E$102*(Inputs!$E$113+Inputs!$E$114*Inputs!$E$40+Inputs!$E$141*Inputs!$E$30+Inputs!$E$142))*(1+Inputs!$E$32)^8</f>
        <v>1836.6038872440795</v>
      </c>
      <c r="K17" s="27">
        <f>(Inputs!$E$31*'Equipment Total Utilization'!B20/Inputs!$E$102*(Inputs!$E$113+Inputs!$E$114*Inputs!$E$40+Inputs!$E$141*Inputs!$E$30+Inputs!$E$142))*(1+Inputs!$E$32)^9</f>
        <v>1891.7020038614021</v>
      </c>
    </row>
    <row r="18" spans="1:11" x14ac:dyDescent="0.2">
      <c r="A18" s="10" t="s">
        <v>61</v>
      </c>
      <c r="B18" s="27">
        <f>Inputs!$E$111</f>
        <v>0</v>
      </c>
      <c r="C18" s="27">
        <f>Inputs!$E$111</f>
        <v>0</v>
      </c>
      <c r="D18" s="27">
        <f>Inputs!$E$111</f>
        <v>0</v>
      </c>
      <c r="E18" s="27">
        <f>Inputs!$E$111</f>
        <v>0</v>
      </c>
      <c r="F18" s="27">
        <f>Inputs!$E$111</f>
        <v>0</v>
      </c>
      <c r="G18" s="27">
        <f>Inputs!$E$111</f>
        <v>0</v>
      </c>
      <c r="H18" s="27">
        <f>Inputs!$E$111</f>
        <v>0</v>
      </c>
      <c r="I18" s="27">
        <f>Inputs!$E$111</f>
        <v>0</v>
      </c>
      <c r="J18" s="27">
        <f>Inputs!$E$111</f>
        <v>0</v>
      </c>
      <c r="K18" s="27">
        <f>Inputs!$E$111</f>
        <v>0</v>
      </c>
    </row>
    <row r="19" spans="1:11" x14ac:dyDescent="0.2">
      <c r="A19" s="210" t="s">
        <v>516</v>
      </c>
      <c r="B19" s="27">
        <f>(Inputs!$E$117*Inputs!$E$118*(Inputs!$E$119+Inputs!$E$120+Inputs!$E$121+Inputs!$E$122+Inputs!$E$123)+Inputs!$E$124)*Inputs!$E$116</f>
        <v>27600</v>
      </c>
      <c r="C19" s="27">
        <f>((Inputs!$E$117*Inputs!$E$118*(Inputs!$E$119+Inputs!$E$120+Inputs!$E$121+Inputs!$E$122+Inputs!$E$123)+Inputs!$E$124)*Inputs!$E$116)*(1+Inputs!$E$32)</f>
        <v>28428</v>
      </c>
      <c r="D19" s="27">
        <f>((Inputs!$E$117*Inputs!$E$118*(Inputs!$E$119+Inputs!$E$120+Inputs!$E$121+Inputs!$E$122+Inputs!$E$123)+Inputs!$E$124)*Inputs!$E$116)*(1+Inputs!$E$32)^2</f>
        <v>29280.84</v>
      </c>
      <c r="E19" s="27">
        <f>((Inputs!$E$117*Inputs!$E$118*(Inputs!$E$119+Inputs!$E$120+Inputs!$E$121+Inputs!$E$122+Inputs!$E$123)+Inputs!$E$124)*Inputs!$E$116)*(1+Inputs!$E$32)^3</f>
        <v>30159.265200000002</v>
      </c>
      <c r="F19" s="27">
        <f>((Inputs!$E$117*Inputs!$E$118*(Inputs!$E$119+Inputs!$E$120+Inputs!$E$121+Inputs!$E$122+Inputs!$E$123)+Inputs!$E$124)*Inputs!$E$116)*(1+Inputs!$E$32)^4</f>
        <v>31064.043155999996</v>
      </c>
      <c r="G19" s="27">
        <f>((Inputs!$E$117*Inputs!$E$118*(Inputs!$E$119+Inputs!$E$120+Inputs!$E$121+Inputs!$E$122+Inputs!$E$123)+Inputs!$E$124)*Inputs!$E$116)*(1+Inputs!$E$32)^5</f>
        <v>31995.964450679996</v>
      </c>
      <c r="H19" s="27">
        <f>((Inputs!$E$117*Inputs!$E$118*(Inputs!$E$119+Inputs!$E$120+Inputs!$E$121+Inputs!$E$122+Inputs!$E$123)+Inputs!$E$124)*Inputs!$E$116)*(1+Inputs!$E$32)^6</f>
        <v>32955.843384200394</v>
      </c>
      <c r="I19" s="27">
        <f>((Inputs!$E$117*Inputs!$E$118*(Inputs!$E$119+Inputs!$E$120+Inputs!$E$121+Inputs!$E$122+Inputs!$E$123)+Inputs!$E$124)*Inputs!$E$116)*(1+Inputs!$E$32)^7</f>
        <v>33944.518685726413</v>
      </c>
      <c r="J19" s="27">
        <f>((Inputs!$E$117*Inputs!$E$118*(Inputs!$E$119+Inputs!$E$120+Inputs!$E$121+Inputs!$E$122+Inputs!$E$123)+Inputs!$E$124)*Inputs!$E$116)*(1+Inputs!$E$32)^8</f>
        <v>34962.8542462982</v>
      </c>
      <c r="K19" s="27">
        <f>((Inputs!$E$117*Inputs!$E$118*(Inputs!$E$119+Inputs!$E$120+Inputs!$E$121+Inputs!$E$122+Inputs!$E$123)+Inputs!$E$124)*Inputs!$E$116)*(1+Inputs!$E$32)^9</f>
        <v>36011.739873687147</v>
      </c>
    </row>
    <row r="20" spans="1:11" x14ac:dyDescent="0.2">
      <c r="A20" s="7" t="s">
        <v>135</v>
      </c>
      <c r="B20" s="24">
        <f>SUM(B21:B21)</f>
        <v>23515.042249285714</v>
      </c>
      <c r="C20" s="24">
        <f t="shared" ref="C20:K20" si="3">SUM(C21:C21)</f>
        <v>24220.493516764287</v>
      </c>
      <c r="D20" s="24">
        <f t="shared" si="3"/>
        <v>24947.108322267213</v>
      </c>
      <c r="E20" s="24">
        <f t="shared" si="3"/>
        <v>25695.521571935231</v>
      </c>
      <c r="F20" s="24">
        <f t="shared" si="3"/>
        <v>26466.387219093285</v>
      </c>
      <c r="G20" s="24">
        <f t="shared" si="3"/>
        <v>27260.378835666084</v>
      </c>
      <c r="H20" s="24">
        <f t="shared" si="3"/>
        <v>28078.190200736066</v>
      </c>
      <c r="I20" s="24">
        <f t="shared" si="3"/>
        <v>28920.535906758152</v>
      </c>
      <c r="J20" s="24">
        <f t="shared" si="3"/>
        <v>29788.151983960892</v>
      </c>
      <c r="K20" s="24">
        <f t="shared" si="3"/>
        <v>30681.796543479719</v>
      </c>
    </row>
    <row r="21" spans="1:11" x14ac:dyDescent="0.2">
      <c r="A21" s="10" t="s">
        <v>147</v>
      </c>
      <c r="B21" s="27">
        <f>Inputs!$E$87*Inputs!$E$36*Inputs!$E$26*Inputs!$E$31*'Equipment Total Utilization'!B20</f>
        <v>23515.042249285714</v>
      </c>
      <c r="C21" s="27">
        <f>(Inputs!$E$87*Inputs!$E$36*Inputs!$E$26*Inputs!$E$31*'Equipment Total Utilization'!B20)*(1+Inputs!$E$32)</f>
        <v>24220.493516764287</v>
      </c>
      <c r="D21" s="27">
        <f>(Inputs!$E$87*Inputs!$E$36*Inputs!$E$26*Inputs!$E$31*'Equipment Total Utilization'!B20)*(1+Inputs!$E$32)^2</f>
        <v>24947.108322267213</v>
      </c>
      <c r="E21" s="27">
        <f>(Inputs!$E$87*Inputs!$E$36*Inputs!$E$26*Inputs!$E$31*'Equipment Total Utilization'!B20)*(1+Inputs!$E$32)^3</f>
        <v>25695.521571935231</v>
      </c>
      <c r="F21" s="27">
        <f>(Inputs!$E$87*Inputs!$E$36*Inputs!$E$26*Inputs!$E$31*'Equipment Total Utilization'!B20)*(1+Inputs!$E$32)^4</f>
        <v>26466.387219093285</v>
      </c>
      <c r="G21" s="27">
        <f>(Inputs!$E$87*Inputs!$E$36*Inputs!$E$26*Inputs!$E$31*'Equipment Total Utilization'!B20)*(1+Inputs!$E$32)^5</f>
        <v>27260.378835666084</v>
      </c>
      <c r="H21" s="27">
        <f>(Inputs!$E$87*Inputs!$E$36*Inputs!$E$26*Inputs!$E$31*'Equipment Total Utilization'!B20)*(1+Inputs!$E$32)^6</f>
        <v>28078.190200736066</v>
      </c>
      <c r="I21" s="27">
        <f>(Inputs!$E$87*Inputs!$E$36*Inputs!$E$26*Inputs!$E$31*'Equipment Total Utilization'!B20)*(1+Inputs!$E$32)^7</f>
        <v>28920.535906758152</v>
      </c>
      <c r="J21" s="27">
        <f>(Inputs!$E$87*Inputs!$E$36*Inputs!$E$26*Inputs!$E$31*'Equipment Total Utilization'!B20)*(1+Inputs!$E$32)^8</f>
        <v>29788.151983960892</v>
      </c>
      <c r="K21" s="27">
        <f>(Inputs!$E$87*Inputs!$E$36*Inputs!$E$26*Inputs!$E$31*'Equipment Total Utilization'!B20)*(1+Inputs!$E$32)^9</f>
        <v>30681.796543479719</v>
      </c>
    </row>
    <row r="22" spans="1:11" x14ac:dyDescent="0.2">
      <c r="A22" s="7" t="s">
        <v>136</v>
      </c>
      <c r="B22" s="24">
        <f>SUM(B23:B28)</f>
        <v>0</v>
      </c>
      <c r="C22" s="24">
        <f t="shared" ref="C22:K22" si="4">SUM(C23:C28)</f>
        <v>0</v>
      </c>
      <c r="D22" s="24">
        <f t="shared" si="4"/>
        <v>0</v>
      </c>
      <c r="E22" s="24">
        <f t="shared" si="4"/>
        <v>0</v>
      </c>
      <c r="F22" s="24">
        <f t="shared" si="4"/>
        <v>0</v>
      </c>
      <c r="G22" s="24">
        <f t="shared" si="4"/>
        <v>0</v>
      </c>
      <c r="H22" s="24">
        <f t="shared" si="4"/>
        <v>0</v>
      </c>
      <c r="I22" s="24">
        <f t="shared" si="4"/>
        <v>0</v>
      </c>
      <c r="J22" s="24">
        <f t="shared" si="4"/>
        <v>0</v>
      </c>
      <c r="K22" s="24">
        <f t="shared" si="4"/>
        <v>0</v>
      </c>
    </row>
    <row r="23" spans="1:11" x14ac:dyDescent="0.2">
      <c r="A23" s="10" t="s">
        <v>144</v>
      </c>
      <c r="B23" s="27">
        <f>Inputs!$E$89*Inputs!$E$26*Inputs!$E$33</f>
        <v>0</v>
      </c>
      <c r="C23" s="27">
        <f>(Inputs!$E$89*Inputs!$E$26*Inputs!$E$33)*(1+Inputs!$E$32)</f>
        <v>0</v>
      </c>
      <c r="D23" s="27">
        <f>(Inputs!$E$89*Inputs!$E$26*Inputs!$E$33)*(1+Inputs!$E$32)^2</f>
        <v>0</v>
      </c>
      <c r="E23" s="27">
        <f>(Inputs!$E$89*Inputs!$E$26*Inputs!$E$33)*(1+Inputs!$E$32)^3</f>
        <v>0</v>
      </c>
      <c r="F23" s="27">
        <f>(Inputs!$E$89*Inputs!$E$26*Inputs!$E$33)*(1+Inputs!$E$32)^4</f>
        <v>0</v>
      </c>
      <c r="G23" s="27">
        <f>(Inputs!$E$89*Inputs!$E$26*Inputs!$E$33)*(1+Inputs!$E$32)^5</f>
        <v>0</v>
      </c>
      <c r="H23" s="27">
        <f>(Inputs!$E$89*Inputs!$E$26*Inputs!$E$33)*(1+Inputs!$E$32)^6</f>
        <v>0</v>
      </c>
      <c r="I23" s="27">
        <f>(Inputs!$E$89*Inputs!$E$26*Inputs!$E$33)*(1+Inputs!$E$32)^7</f>
        <v>0</v>
      </c>
      <c r="J23" s="27">
        <f>(Inputs!$E$89*Inputs!$E$26*Inputs!$E$33)*(1+Inputs!$E$32)^8</f>
        <v>0</v>
      </c>
      <c r="K23" s="27">
        <f>(Inputs!$E$89*Inputs!$E$26*Inputs!$E$33)*(1+Inputs!$E$32)^9</f>
        <v>0</v>
      </c>
    </row>
    <row r="24" spans="1:11" x14ac:dyDescent="0.2">
      <c r="A24" s="10" t="s">
        <v>145</v>
      </c>
      <c r="B24" s="27">
        <f>Inputs!$E$90*Inputs!$E$26*Inputs!$E$34</f>
        <v>0</v>
      </c>
      <c r="C24" s="27">
        <f>(Inputs!$E$90*Inputs!$E$26*Inputs!$E$34)*(1+Inputs!$E$32)</f>
        <v>0</v>
      </c>
      <c r="D24" s="27">
        <f>(Inputs!$E$90*Inputs!$E$26*Inputs!$E$34)*(1+Inputs!$E$32)^2</f>
        <v>0</v>
      </c>
      <c r="E24" s="27">
        <f>(Inputs!$E$90*Inputs!$E$26*Inputs!$E$34)*(1+Inputs!$E$32)^3</f>
        <v>0</v>
      </c>
      <c r="F24" s="27">
        <f>(Inputs!$E$90*Inputs!$E$26*Inputs!$E$34)*(1+Inputs!$E$32)^4</f>
        <v>0</v>
      </c>
      <c r="G24" s="27">
        <f>(Inputs!$E$90*Inputs!$E$26*Inputs!$E$34)*(1+Inputs!$E$32)^5</f>
        <v>0</v>
      </c>
      <c r="H24" s="27">
        <f>(Inputs!$E$90*Inputs!$E$26*Inputs!$E$34)*(1+Inputs!$E$32)^6</f>
        <v>0</v>
      </c>
      <c r="I24" s="27">
        <f>(Inputs!$E$90*Inputs!$E$26*Inputs!$E$34)*(1+Inputs!$E$32)^7</f>
        <v>0</v>
      </c>
      <c r="J24" s="27">
        <f>(Inputs!$E$90*Inputs!$E$26*Inputs!$E$34)*(1+Inputs!$E$32)^8</f>
        <v>0</v>
      </c>
      <c r="K24" s="27">
        <f>(Inputs!$E$90*Inputs!$E$26*Inputs!$E$34)*(1+Inputs!$E$32)^9</f>
        <v>0</v>
      </c>
    </row>
    <row r="25" spans="1:11" x14ac:dyDescent="0.2">
      <c r="A25" s="10" t="s">
        <v>146</v>
      </c>
      <c r="B25" s="27">
        <f>Inputs!$E$91*Inputs!$E$26*Inputs!$E$35</f>
        <v>0</v>
      </c>
      <c r="C25" s="27">
        <f>(Inputs!$E$91*Inputs!$E$26*Inputs!$E$35)*(1+Inputs!$E$32)</f>
        <v>0</v>
      </c>
      <c r="D25" s="27">
        <f>(Inputs!$E$91*Inputs!$E$26*Inputs!$E$35)*(1+Inputs!$E$32)^2</f>
        <v>0</v>
      </c>
      <c r="E25" s="27">
        <f>(Inputs!$E$91*Inputs!$E$26*Inputs!$E$35)*(1+Inputs!$E$32)^3</f>
        <v>0</v>
      </c>
      <c r="F25" s="27">
        <f>(Inputs!$E$91*Inputs!$E$26*Inputs!$E$35)*(1+Inputs!$E$32)^4</f>
        <v>0</v>
      </c>
      <c r="G25" s="27">
        <f>(Inputs!$E$91*Inputs!$E$26*Inputs!$E$35)*(1+Inputs!$E$32)^5</f>
        <v>0</v>
      </c>
      <c r="H25" s="27">
        <f>(Inputs!$E$91*Inputs!$E$26*Inputs!$E$35)*(1+Inputs!$E$32)^6</f>
        <v>0</v>
      </c>
      <c r="I25" s="27">
        <f>(Inputs!$E$91*Inputs!$E$26*Inputs!$E$35)*(1+Inputs!$E$32)^7</f>
        <v>0</v>
      </c>
      <c r="J25" s="27">
        <f>(Inputs!$E$91*Inputs!$E$26*Inputs!$E$35)*(1+Inputs!$E$32)^8</f>
        <v>0</v>
      </c>
      <c r="K25" s="27">
        <f>(Inputs!$E$91*Inputs!$E$26*Inputs!$E$35)*(1+Inputs!$E$32)^9</f>
        <v>0</v>
      </c>
    </row>
    <row r="26" spans="1:11" x14ac:dyDescent="0.2">
      <c r="A26" s="25" t="s">
        <v>134</v>
      </c>
      <c r="B26" s="26">
        <f>Inputs!$E$92*Inputs!$E$37*Inputs!$E$26*Inputs!$E$31*'Equipment Total Utilization'!B20</f>
        <v>0</v>
      </c>
      <c r="C26" s="26">
        <f>(Inputs!$E$92*Inputs!$E$37*Inputs!$E$26*Inputs!$E$31*'Equipment Total Utilization'!B20)*(1+Inputs!$E$32)</f>
        <v>0</v>
      </c>
      <c r="D26" s="26">
        <f>(Inputs!$E$92*Inputs!$E$37*Inputs!$E$26*Inputs!$E$31*'Equipment Total Utilization'!B20)*(1+Inputs!$E$32)^2</f>
        <v>0</v>
      </c>
      <c r="E26" s="26">
        <f>(Inputs!$E$92*Inputs!$E$37*Inputs!$E$26*Inputs!$E$31*'Equipment Total Utilization'!B20)*(1+Inputs!$E$32)^3</f>
        <v>0</v>
      </c>
      <c r="F26" s="26">
        <f>(Inputs!$E$92*Inputs!$E$37*Inputs!$E$26*Inputs!$E$31*'Equipment Total Utilization'!B20)*(1+Inputs!$E$32)^4</f>
        <v>0</v>
      </c>
      <c r="G26" s="26">
        <f>(Inputs!$E$92*Inputs!$E$37*Inputs!$E$26*Inputs!$E$31*'Equipment Total Utilization'!B20)*(1+Inputs!$E$32)^5</f>
        <v>0</v>
      </c>
      <c r="H26" s="26">
        <f>(Inputs!$E$92*Inputs!$E$37*Inputs!$E$26*Inputs!$E$31*'Equipment Total Utilization'!B20)*(1+Inputs!$E$32)^6</f>
        <v>0</v>
      </c>
      <c r="I26" s="26">
        <f>(Inputs!$E$92*Inputs!$E$37*Inputs!$E$26*Inputs!$E$31*'Equipment Total Utilization'!B20)*(1+Inputs!$E$32)^7</f>
        <v>0</v>
      </c>
      <c r="J26" s="26">
        <f>(Inputs!$E$92*Inputs!$E$37*Inputs!$E$26*Inputs!$E$31*'Equipment Total Utilization'!B20)*(1+Inputs!$E$32)^8</f>
        <v>0</v>
      </c>
      <c r="K26" s="26">
        <f>(Inputs!$E$92*Inputs!$E$37*Inputs!$E$26*Inputs!$E$31*'Equipment Total Utilization'!B20)*(1+Inputs!$E$32)^9</f>
        <v>0</v>
      </c>
    </row>
    <row r="27" spans="1:11" x14ac:dyDescent="0.2">
      <c r="A27" s="25" t="s">
        <v>148</v>
      </c>
      <c r="B27" s="26">
        <f>Inputs!$E$93*Inputs!$E$38*Inputs!$E$26*Inputs!$E$31*'Equipment Total Utilization'!B20</f>
        <v>0</v>
      </c>
      <c r="C27" s="26">
        <f>(Inputs!$E$93*Inputs!$E$38*Inputs!$E$26*Inputs!$E$31*'Equipment Total Utilization'!B20)*(1+Inputs!$E$32)</f>
        <v>0</v>
      </c>
      <c r="D27" s="26">
        <f>(Inputs!$E$93*Inputs!$E$38*Inputs!$E$26*Inputs!$E$31*'Equipment Total Utilization'!B20)*(1+Inputs!$E$32)^2</f>
        <v>0</v>
      </c>
      <c r="E27" s="26">
        <f>(Inputs!$E$93*Inputs!$E$38*Inputs!$E$26*Inputs!$E$31*'Equipment Total Utilization'!B20)*(1+Inputs!$E$32)^3</f>
        <v>0</v>
      </c>
      <c r="F27" s="26">
        <f>(Inputs!$E$93*Inputs!$E$38*Inputs!$E$26*Inputs!$E$31*'Equipment Total Utilization'!B20)*(1+Inputs!$E$32)^4</f>
        <v>0</v>
      </c>
      <c r="G27" s="26">
        <f>(Inputs!$E$93*Inputs!$E$38*Inputs!$E$26*Inputs!$E$31*'Equipment Total Utilization'!B20)*(1+Inputs!$E$32)^5</f>
        <v>0</v>
      </c>
      <c r="H27" s="26">
        <f>(Inputs!$E$93*Inputs!$E$38*Inputs!$E$26*Inputs!$E$31*'Equipment Total Utilization'!B20)*(1+Inputs!$E$32)^6</f>
        <v>0</v>
      </c>
      <c r="I27" s="26">
        <f>(Inputs!$E$93*Inputs!$E$38*Inputs!$E$26*Inputs!$E$31*'Equipment Total Utilization'!B20)*(1+Inputs!$E$32)^7</f>
        <v>0</v>
      </c>
      <c r="J27" s="26">
        <f>(Inputs!$E$93*Inputs!$E$38*Inputs!$E$26*Inputs!$E$31*'Equipment Total Utilization'!B20)*(1+Inputs!$E$32)^8</f>
        <v>0</v>
      </c>
      <c r="K27" s="26">
        <f>(Inputs!$E$93*Inputs!$E$38*Inputs!$E$26*Inputs!$E$31*'Equipment Total Utilization'!B20)*(1+Inputs!$E$32)^9</f>
        <v>0</v>
      </c>
    </row>
    <row r="28" spans="1:11" x14ac:dyDescent="0.2">
      <c r="A28" s="25" t="s">
        <v>155</v>
      </c>
      <c r="B28" s="26">
        <f>Inputs!$E$94*Inputs!$E$39*Inputs!$E$26*Inputs!$E$31*'Equipment Total Utilization'!B20</f>
        <v>0</v>
      </c>
      <c r="C28" s="26">
        <f>(Inputs!$E$94*Inputs!$E$39*Inputs!$E$26*Inputs!$E$31*'Equipment Total Utilization'!B20)*(1+Inputs!$E$32)</f>
        <v>0</v>
      </c>
      <c r="D28" s="26">
        <f>(Inputs!$E$94*Inputs!$E$39*Inputs!$E$26*Inputs!$E$31*'Equipment Total Utilization'!B20)*(1+Inputs!$E$32)^2</f>
        <v>0</v>
      </c>
      <c r="E28" s="26">
        <f>(Inputs!$E$94*Inputs!$E$39*Inputs!$E$26*Inputs!$E$31*'Equipment Total Utilization'!B20)*(1+Inputs!$E$32)^3</f>
        <v>0</v>
      </c>
      <c r="F28" s="26">
        <f>(Inputs!$E$94*Inputs!$E$39*Inputs!$E$26*Inputs!$E$31*'Equipment Total Utilization'!B20)*(1+Inputs!$E$32)^4</f>
        <v>0</v>
      </c>
      <c r="G28" s="26">
        <f>(Inputs!$E$94*Inputs!$E$39*Inputs!$E$26*Inputs!$E$31*'Equipment Total Utilization'!B20)*(1+Inputs!$E$32)^5</f>
        <v>0</v>
      </c>
      <c r="H28" s="26">
        <f>(Inputs!$E$94*Inputs!$E$39*Inputs!$E$26*Inputs!$E$31*'Equipment Total Utilization'!B20)*(1+Inputs!$E$32)^6</f>
        <v>0</v>
      </c>
      <c r="I28" s="26">
        <f>(Inputs!$E$94*Inputs!$E$39*Inputs!$E$26*Inputs!$E$31*'Equipment Total Utilization'!B20)*(1+Inputs!$E$32)^7</f>
        <v>0</v>
      </c>
      <c r="J28" s="26">
        <f>(Inputs!$E$94*Inputs!$E$39*Inputs!$E$26*Inputs!$E$31*'Equipment Total Utilization'!B20)*(1+Inputs!$E$32)^8</f>
        <v>0</v>
      </c>
      <c r="K28" s="26">
        <f>(Inputs!$E$94*Inputs!$E$39*Inputs!$E$26*Inputs!$E$31*'Equipment Total Utilization'!B20)*(1+Inputs!$E$32)^9</f>
        <v>0</v>
      </c>
    </row>
    <row r="29" spans="1:11" x14ac:dyDescent="0.2">
      <c r="A29" s="7" t="s">
        <v>137</v>
      </c>
      <c r="B29" s="24">
        <f>0</f>
        <v>0</v>
      </c>
      <c r="C29" s="24">
        <f>0</f>
        <v>0</v>
      </c>
      <c r="D29" s="24">
        <f>0</f>
        <v>0</v>
      </c>
      <c r="E29" s="24">
        <f>0</f>
        <v>0</v>
      </c>
      <c r="F29" s="24">
        <f>0</f>
        <v>0</v>
      </c>
      <c r="G29" s="24">
        <f>0</f>
        <v>0</v>
      </c>
      <c r="H29" s="24">
        <f>0</f>
        <v>0</v>
      </c>
      <c r="I29" s="24">
        <f>0</f>
        <v>0</v>
      </c>
      <c r="J29" s="24">
        <f>0</f>
        <v>0</v>
      </c>
      <c r="K29" s="24">
        <f>0</f>
        <v>0</v>
      </c>
    </row>
    <row r="30" spans="1:11" x14ac:dyDescent="0.2">
      <c r="A30" s="28" t="s">
        <v>228</v>
      </c>
      <c r="C30" s="28"/>
      <c r="D30" s="28"/>
      <c r="E30" s="28"/>
      <c r="F30" s="28"/>
      <c r="G30" s="28"/>
      <c r="H30" s="28"/>
      <c r="I30" s="28"/>
      <c r="J30" s="28"/>
      <c r="K30" s="28"/>
    </row>
    <row r="31" spans="1:11" x14ac:dyDescent="0.2">
      <c r="A31" s="7" t="s">
        <v>138</v>
      </c>
      <c r="B31" s="24">
        <f>SUM(B32:B33)</f>
        <v>600</v>
      </c>
      <c r="C31" s="24">
        <f t="shared" ref="C31:K31" si="5">SUM(C32:C33)</f>
        <v>618</v>
      </c>
      <c r="D31" s="24">
        <f t="shared" si="5"/>
        <v>636.54</v>
      </c>
      <c r="E31" s="24">
        <f t="shared" si="5"/>
        <v>655.63620000000003</v>
      </c>
      <c r="F31" s="24">
        <f t="shared" si="5"/>
        <v>675.30528599999991</v>
      </c>
      <c r="G31" s="24">
        <f t="shared" si="5"/>
        <v>695.56444457999999</v>
      </c>
      <c r="H31" s="24">
        <f t="shared" si="5"/>
        <v>716.43137791739991</v>
      </c>
      <c r="I31" s="24">
        <f t="shared" si="5"/>
        <v>737.92431925492201</v>
      </c>
      <c r="J31" s="24">
        <f t="shared" si="5"/>
        <v>760.06204883256953</v>
      </c>
      <c r="K31" s="24">
        <f t="shared" si="5"/>
        <v>782.86391029754668</v>
      </c>
    </row>
    <row r="32" spans="1:11" x14ac:dyDescent="0.2">
      <c r="A32" s="25" t="s">
        <v>168</v>
      </c>
      <c r="B32" s="26">
        <f>Inputs!$E$96</f>
        <v>500</v>
      </c>
      <c r="C32" s="26">
        <f>Inputs!$E$96*(1+Inputs!$E$32)</f>
        <v>515</v>
      </c>
      <c r="D32" s="26">
        <f>Inputs!$E$96*(1+Inputs!$E$32)^2</f>
        <v>530.44999999999993</v>
      </c>
      <c r="E32" s="26">
        <f>Inputs!$E$96*(1+Inputs!$E$32)^3</f>
        <v>546.36350000000004</v>
      </c>
      <c r="F32" s="26">
        <f>Inputs!$E$96*(1+Inputs!$E$32)^4</f>
        <v>562.75440499999991</v>
      </c>
      <c r="G32" s="26">
        <f>Inputs!$E$96*(1+Inputs!$E$32)^5</f>
        <v>579.63703714999997</v>
      </c>
      <c r="H32" s="26">
        <f>Inputs!$E$96*(1+Inputs!$E$32)^6</f>
        <v>597.02614826449997</v>
      </c>
      <c r="I32" s="26">
        <f>Inputs!$E$96*(1+Inputs!$E$32)^7</f>
        <v>614.93693271243501</v>
      </c>
      <c r="J32" s="26">
        <f>Inputs!$E$96*(1+Inputs!$E$32)^8</f>
        <v>633.38504069380792</v>
      </c>
      <c r="K32" s="26">
        <f>Inputs!$E$96*(1+Inputs!$E$32)^9</f>
        <v>652.38659191462227</v>
      </c>
    </row>
    <row r="33" spans="1:11" x14ac:dyDescent="0.2">
      <c r="A33" s="25" t="s">
        <v>166</v>
      </c>
      <c r="B33" s="26">
        <f>Inputs!$E$97</f>
        <v>100</v>
      </c>
      <c r="C33" s="26">
        <f>Inputs!$E$97*(1+Inputs!$E$32)</f>
        <v>103</v>
      </c>
      <c r="D33" s="26">
        <f>Inputs!$E$97*(1+Inputs!$E$32)^2</f>
        <v>106.08999999999999</v>
      </c>
      <c r="E33" s="26">
        <f>Inputs!$E$97*(1+Inputs!$E$32)^3</f>
        <v>109.2727</v>
      </c>
      <c r="F33" s="26">
        <f>Inputs!$E$97*(1+Inputs!$E$32)^4</f>
        <v>112.55088099999999</v>
      </c>
      <c r="G33" s="26">
        <f>Inputs!$E$97*(1+Inputs!$E$32)^5</f>
        <v>115.92740742999999</v>
      </c>
      <c r="H33" s="26">
        <f>Inputs!$E$97*(1+Inputs!$E$32)^6</f>
        <v>119.40522965289999</v>
      </c>
      <c r="I33" s="26">
        <f>Inputs!$E$97*(1+Inputs!$E$32)^7</f>
        <v>122.987386542487</v>
      </c>
      <c r="J33" s="26">
        <f>Inputs!$E$97*(1+Inputs!$E$32)^8</f>
        <v>126.67700813876159</v>
      </c>
      <c r="K33" s="26">
        <f>Inputs!$E$97*(1+Inputs!$E$32)^9</f>
        <v>130.47731838292444</v>
      </c>
    </row>
    <row r="35" spans="1:11" x14ac:dyDescent="0.2">
      <c r="A35" s="18" t="s">
        <v>164</v>
      </c>
      <c r="B35" s="19" t="s">
        <v>88</v>
      </c>
      <c r="C35" s="19" t="s">
        <v>89</v>
      </c>
      <c r="D35" s="19" t="s">
        <v>90</v>
      </c>
      <c r="E35" s="19" t="s">
        <v>91</v>
      </c>
      <c r="F35" s="19" t="s">
        <v>92</v>
      </c>
      <c r="G35" s="19" t="s">
        <v>93</v>
      </c>
      <c r="H35" s="19" t="s">
        <v>94</v>
      </c>
      <c r="I35" s="19" t="s">
        <v>95</v>
      </c>
      <c r="J35" s="19" t="s">
        <v>96</v>
      </c>
      <c r="K35" s="19" t="s">
        <v>97</v>
      </c>
    </row>
    <row r="36" spans="1:11" x14ac:dyDescent="0.2">
      <c r="A36" s="20" t="s">
        <v>191</v>
      </c>
      <c r="B36" s="22">
        <f>IF(Inputs!$E$16&gt;=1,B7+B12+B14+B20+B22+B29+B31,0)</f>
        <v>64909.816745000004</v>
      </c>
      <c r="C36" s="22">
        <f>IF(Inputs!$E$16&gt;=2,C7+C12+C14+C20+C22+C29+C31,0)</f>
        <v>66857.111247349996</v>
      </c>
      <c r="D36" s="22">
        <f>IF(Inputs!$E$16&gt;=3,D7+D12+D14+D20+D22+D29+D31,0)</f>
        <v>68862.824584770497</v>
      </c>
      <c r="E36" s="22">
        <f>IF(Inputs!$E$16&gt;=4,E7+E12+E14+E20+E22+E29+E31,0)</f>
        <v>70928.709322313603</v>
      </c>
      <c r="F36" s="22">
        <f>IF(Inputs!$E$16&gt;=5,F7+F12+F14+F20+F22+F29+F31,0)</f>
        <v>73056.570601983025</v>
      </c>
      <c r="G36" s="22">
        <f>IF(Inputs!$E$16&gt;=6,G7+G12+G14+G20+G22+G29+G31,0)</f>
        <v>0</v>
      </c>
      <c r="H36" s="22">
        <f>IF(Inputs!$E$16&gt;=7,H7+H12+H14+H20+H22+H29+H31,0)</f>
        <v>0</v>
      </c>
      <c r="I36" s="22">
        <f>IF(Inputs!$E$16&gt;=8,I7+I12+I14+I20+I22+I29+I31,0)</f>
        <v>0</v>
      </c>
      <c r="J36" s="22">
        <f>IF(Inputs!$E$16&gt;=9,J7+J12+J14+J20+J22+J29+J31,0)</f>
        <v>0</v>
      </c>
      <c r="K36" s="22">
        <f>IF(Inputs!$E$16&gt;=10,K7+K12+K14+K20+K22+K29+K31,0)</f>
        <v>0</v>
      </c>
    </row>
    <row r="37" spans="1:11" x14ac:dyDescent="0.2">
      <c r="A37" s="20" t="s">
        <v>192</v>
      </c>
      <c r="B37" s="22">
        <f>B36</f>
        <v>64909.816745000004</v>
      </c>
      <c r="C37" s="22">
        <f>B37+C36</f>
        <v>131766.92799235001</v>
      </c>
      <c r="D37" s="22">
        <f t="shared" ref="D37:K37" si="6">C37+D36</f>
        <v>200629.7525771205</v>
      </c>
      <c r="E37" s="22">
        <f t="shared" si="6"/>
        <v>271558.4618994341</v>
      </c>
      <c r="F37" s="22">
        <f t="shared" si="6"/>
        <v>344615.0325014171</v>
      </c>
      <c r="G37" s="22">
        <f t="shared" si="6"/>
        <v>344615.0325014171</v>
      </c>
      <c r="H37" s="22">
        <f t="shared" si="6"/>
        <v>344615.0325014171</v>
      </c>
      <c r="I37" s="22">
        <f t="shared" si="6"/>
        <v>344615.0325014171</v>
      </c>
      <c r="J37" s="22">
        <f t="shared" si="6"/>
        <v>344615.0325014171</v>
      </c>
      <c r="K37" s="22">
        <f t="shared" si="6"/>
        <v>344615.0325014171</v>
      </c>
    </row>
    <row r="38" spans="1:11" x14ac:dyDescent="0.2">
      <c r="B38" s="29"/>
      <c r="C38" s="29"/>
      <c r="D38" s="29"/>
      <c r="E38" s="29"/>
      <c r="F38" s="29"/>
      <c r="G38" s="29"/>
      <c r="H38" s="29"/>
      <c r="I38" s="29"/>
      <c r="J38" s="29"/>
      <c r="K38" s="29"/>
    </row>
    <row r="39" spans="1:11" x14ac:dyDescent="0.2">
      <c r="B39" s="29"/>
      <c r="C39" s="29"/>
      <c r="D39" s="29"/>
      <c r="E39" s="29"/>
      <c r="F39" s="29"/>
      <c r="G39" s="29"/>
      <c r="H39" s="29"/>
      <c r="I39" s="29"/>
      <c r="J39" s="29"/>
      <c r="K39" s="29"/>
    </row>
  </sheetData>
  <phoneticPr fontId="0" type="noConversion"/>
  <printOptions gridLines="1" gridLinesSet="0"/>
  <pageMargins left="0.5" right="0.5" top="0.75" bottom="0.75" header="0.25" footer="0.25"/>
  <pageSetup orientation="landscape" r:id="rId1"/>
  <headerFooter alignWithMargins="0">
    <oddHeader>&amp;CAnnualized Recurring Costs for Calculating COO of Gas Delivery Systems</oddHeader>
    <oddFooter>&amp;LRefer to SEMI Document xxxx&amp;CPage &amp;P&amp;RCreated 06/25/99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heetViews>
  <sheetFormatPr defaultColWidth="9.140625" defaultRowHeight="12.75" x14ac:dyDescent="0.2"/>
  <cols>
    <col min="1" max="1" width="23.140625" style="30" customWidth="1"/>
    <col min="2" max="11" width="10.5703125" style="30" customWidth="1"/>
    <col min="12" max="16384" width="9.140625" style="30"/>
  </cols>
  <sheetData>
    <row r="1" spans="1:11" x14ac:dyDescent="0.2">
      <c r="A1" s="30" t="s">
        <v>18</v>
      </c>
    </row>
    <row r="2" spans="1:11" x14ac:dyDescent="0.2">
      <c r="A2" s="30" t="s">
        <v>190</v>
      </c>
    </row>
    <row r="3" spans="1:11" x14ac:dyDescent="0.2">
      <c r="A3" s="136" t="s">
        <v>475</v>
      </c>
    </row>
    <row r="5" spans="1:11" x14ac:dyDescent="0.2">
      <c r="C5" s="204" t="s">
        <v>19</v>
      </c>
    </row>
    <row r="6" spans="1:11" x14ac:dyDescent="0.2">
      <c r="C6" s="32" t="s">
        <v>65</v>
      </c>
      <c r="D6" s="205" t="s">
        <v>216</v>
      </c>
      <c r="E6" s="30" t="s">
        <v>221</v>
      </c>
    </row>
    <row r="7" spans="1:11" x14ac:dyDescent="0.2">
      <c r="C7" s="31"/>
      <c r="D7" s="205" t="s">
        <v>217</v>
      </c>
      <c r="E7" s="30" t="s">
        <v>222</v>
      </c>
    </row>
    <row r="8" spans="1:11" x14ac:dyDescent="0.2">
      <c r="C8" s="31"/>
      <c r="D8" s="205" t="s">
        <v>218</v>
      </c>
      <c r="E8" s="30" t="s">
        <v>223</v>
      </c>
    </row>
    <row r="9" spans="1:11" x14ac:dyDescent="0.2">
      <c r="C9" s="31"/>
      <c r="D9" s="205" t="s">
        <v>219</v>
      </c>
      <c r="E9" s="30" t="s">
        <v>224</v>
      </c>
    </row>
    <row r="10" spans="1:11" x14ac:dyDescent="0.2">
      <c r="C10" s="31"/>
      <c r="D10" s="205" t="s">
        <v>220</v>
      </c>
      <c r="E10" s="30" t="s">
        <v>225</v>
      </c>
    </row>
    <row r="12" spans="1:11" x14ac:dyDescent="0.2">
      <c r="A12" s="33" t="s">
        <v>211</v>
      </c>
    </row>
    <row r="13" spans="1:11" x14ac:dyDescent="0.2">
      <c r="B13" s="34" t="s">
        <v>88</v>
      </c>
      <c r="C13" s="34" t="s">
        <v>89</v>
      </c>
      <c r="D13" s="34" t="s">
        <v>90</v>
      </c>
      <c r="E13" s="34" t="s">
        <v>91</v>
      </c>
      <c r="F13" s="34" t="s">
        <v>92</v>
      </c>
      <c r="G13" s="34" t="s">
        <v>93</v>
      </c>
      <c r="H13" s="34" t="s">
        <v>94</v>
      </c>
      <c r="I13" s="34" t="s">
        <v>95</v>
      </c>
      <c r="J13" s="34" t="s">
        <v>96</v>
      </c>
      <c r="K13" s="34" t="s">
        <v>97</v>
      </c>
    </row>
    <row r="14" spans="1:11" x14ac:dyDescent="0.2">
      <c r="A14" s="97" t="s">
        <v>212</v>
      </c>
      <c r="B14" s="35">
        <f>Inputs!$E$150*Inputs!$E$28</f>
        <v>0</v>
      </c>
      <c r="C14" s="35">
        <f>Inputs!$E$150*Inputs!$E$28</f>
        <v>0</v>
      </c>
      <c r="D14" s="35">
        <f>Inputs!$E$150*Inputs!$E$28</f>
        <v>0</v>
      </c>
      <c r="E14" s="35">
        <f>Inputs!$E$150*Inputs!$E$28</f>
        <v>0</v>
      </c>
      <c r="F14" s="35">
        <f>Inputs!$E$150*Inputs!$E$28</f>
        <v>0</v>
      </c>
      <c r="G14" s="35">
        <f>Inputs!$E$150*Inputs!$E$28</f>
        <v>0</v>
      </c>
      <c r="H14" s="35">
        <f>Inputs!$E$150*Inputs!$E$28</f>
        <v>0</v>
      </c>
      <c r="I14" s="35">
        <f>Inputs!$E$150*Inputs!$E$28</f>
        <v>0</v>
      </c>
      <c r="J14" s="35">
        <f>Inputs!$E$150*Inputs!$E$28</f>
        <v>0</v>
      </c>
      <c r="K14" s="35">
        <f>Inputs!$E$150*Inputs!$E$28</f>
        <v>0</v>
      </c>
    </row>
    <row r="15" spans="1:11" x14ac:dyDescent="0.2">
      <c r="A15" s="97" t="s">
        <v>226</v>
      </c>
      <c r="B15" s="35">
        <f>Inputs!$E$151*Inputs!$E$29</f>
        <v>0</v>
      </c>
      <c r="C15" s="35">
        <f>Inputs!$E$151*Inputs!$E$29</f>
        <v>0</v>
      </c>
      <c r="D15" s="35">
        <f>Inputs!$E$151*Inputs!$E$29</f>
        <v>0</v>
      </c>
      <c r="E15" s="35">
        <f>Inputs!$E$151*Inputs!$E$29</f>
        <v>0</v>
      </c>
      <c r="F15" s="35">
        <f>Inputs!$E$151*Inputs!$E$29</f>
        <v>0</v>
      </c>
      <c r="G15" s="35">
        <f>Inputs!$E$151*Inputs!$E$29</f>
        <v>0</v>
      </c>
      <c r="H15" s="35">
        <f>Inputs!$E$151*Inputs!$E$29</f>
        <v>0</v>
      </c>
      <c r="I15" s="35">
        <f>Inputs!$E$151*Inputs!$E$29</f>
        <v>0</v>
      </c>
      <c r="J15" s="35">
        <f>Inputs!$E$151*Inputs!$E$29</f>
        <v>0</v>
      </c>
      <c r="K15" s="35">
        <f>Inputs!$E$151*Inputs!$E$29</f>
        <v>0</v>
      </c>
    </row>
    <row r="16" spans="1:11" x14ac:dyDescent="0.2">
      <c r="A16" s="97" t="s">
        <v>227</v>
      </c>
      <c r="B16" s="35">
        <f>Inputs!$E$152*Inputs!$E$29</f>
        <v>0</v>
      </c>
      <c r="C16" s="35">
        <f>Inputs!$E$152*Inputs!$E$29</f>
        <v>0</v>
      </c>
      <c r="D16" s="35">
        <f>Inputs!$E$152*Inputs!$E$29</f>
        <v>0</v>
      </c>
      <c r="E16" s="35">
        <f>Inputs!$E$152*Inputs!$E$29</f>
        <v>0</v>
      </c>
      <c r="F16" s="35">
        <f>Inputs!$E$152*Inputs!$E$29</f>
        <v>0</v>
      </c>
      <c r="G16" s="35">
        <f>Inputs!$E$152*Inputs!$E$29</f>
        <v>0</v>
      </c>
      <c r="H16" s="35">
        <f>Inputs!$E$152*Inputs!$E$29</f>
        <v>0</v>
      </c>
      <c r="I16" s="35">
        <f>Inputs!$E$152*Inputs!$E$29</f>
        <v>0</v>
      </c>
      <c r="J16" s="35">
        <f>Inputs!$E$152*Inputs!$E$29</f>
        <v>0</v>
      </c>
      <c r="K16" s="35">
        <f>Inputs!$E$152*Inputs!$E$29</f>
        <v>0</v>
      </c>
    </row>
    <row r="18" spans="1:11" x14ac:dyDescent="0.2">
      <c r="A18" s="36" t="s">
        <v>213</v>
      </c>
      <c r="B18" s="37" t="s">
        <v>88</v>
      </c>
      <c r="C18" s="37" t="s">
        <v>89</v>
      </c>
      <c r="D18" s="37" t="s">
        <v>90</v>
      </c>
      <c r="E18" s="37" t="s">
        <v>91</v>
      </c>
      <c r="F18" s="37" t="s">
        <v>92</v>
      </c>
      <c r="G18" s="37" t="s">
        <v>93</v>
      </c>
      <c r="H18" s="37" t="s">
        <v>94</v>
      </c>
      <c r="I18" s="37" t="s">
        <v>95</v>
      </c>
      <c r="J18" s="37" t="s">
        <v>96</v>
      </c>
      <c r="K18" s="37" t="s">
        <v>97</v>
      </c>
    </row>
    <row r="19" spans="1:11" x14ac:dyDescent="0.2">
      <c r="A19" s="38" t="s">
        <v>191</v>
      </c>
      <c r="B19" s="39">
        <f>IF(Inputs!$E$16&gt;=1,SUM(B14:B16),0)</f>
        <v>0</v>
      </c>
      <c r="C19" s="39">
        <f>IF(Inputs!$E$16&gt;=2,SUM(C14:C16),0)</f>
        <v>0</v>
      </c>
      <c r="D19" s="39">
        <f>IF(Inputs!$E$16&gt;=3,SUM(D14:D16),0)</f>
        <v>0</v>
      </c>
      <c r="E19" s="39">
        <f>IF(Inputs!$E$16&gt;=4,SUM(E14:E16),0)</f>
        <v>0</v>
      </c>
      <c r="F19" s="39">
        <f>IF(Inputs!$E$16&gt;=5,SUM(F14:F16),0)</f>
        <v>0</v>
      </c>
      <c r="G19" s="39">
        <f>IF(Inputs!$E$16&gt;=6,SUM(G14:G16),0)</f>
        <v>0</v>
      </c>
      <c r="H19" s="39">
        <f>IF(Inputs!$E$16&gt;=7,SUM(H14:H16),0)</f>
        <v>0</v>
      </c>
      <c r="I19" s="39">
        <f>IF(Inputs!$E$16&gt;=8,SUM(I14:I16),0)</f>
        <v>0</v>
      </c>
      <c r="J19" s="39">
        <f>IF(Inputs!$E$16&gt;=9,SUM(J14:J16),0)</f>
        <v>0</v>
      </c>
      <c r="K19" s="39">
        <f>IF(Inputs!$E$16&gt;=10,SUM(K14:K16),0)</f>
        <v>0</v>
      </c>
    </row>
    <row r="20" spans="1:11" x14ac:dyDescent="0.2">
      <c r="A20" s="38" t="s">
        <v>192</v>
      </c>
      <c r="B20" s="39">
        <f>B19</f>
        <v>0</v>
      </c>
      <c r="C20" s="39">
        <f t="shared" ref="C20:K20" si="0">B20+C19</f>
        <v>0</v>
      </c>
      <c r="D20" s="39">
        <f t="shared" si="0"/>
        <v>0</v>
      </c>
      <c r="E20" s="39">
        <f t="shared" si="0"/>
        <v>0</v>
      </c>
      <c r="F20" s="39">
        <f t="shared" si="0"/>
        <v>0</v>
      </c>
      <c r="G20" s="39">
        <f t="shared" si="0"/>
        <v>0</v>
      </c>
      <c r="H20" s="39">
        <f t="shared" si="0"/>
        <v>0</v>
      </c>
      <c r="I20" s="39">
        <f t="shared" si="0"/>
        <v>0</v>
      </c>
      <c r="J20" s="39">
        <f t="shared" si="0"/>
        <v>0</v>
      </c>
      <c r="K20" s="39">
        <f t="shared" si="0"/>
        <v>0</v>
      </c>
    </row>
    <row r="21" spans="1:11" x14ac:dyDescent="0.2">
      <c r="B21" s="40"/>
      <c r="C21" s="40"/>
      <c r="D21" s="40"/>
      <c r="E21" s="40"/>
      <c r="F21" s="40"/>
      <c r="G21" s="40"/>
      <c r="H21" s="40"/>
      <c r="I21" s="40"/>
      <c r="J21" s="40"/>
      <c r="K21" s="40"/>
    </row>
    <row r="22" spans="1:11" x14ac:dyDescent="0.2">
      <c r="B22" s="40"/>
      <c r="C22" s="40"/>
      <c r="D22" s="40"/>
      <c r="E22" s="40"/>
      <c r="F22" s="40"/>
      <c r="G22" s="40"/>
      <c r="H22" s="40"/>
      <c r="I22" s="40"/>
      <c r="J22" s="40"/>
      <c r="K22" s="40"/>
    </row>
  </sheetData>
  <phoneticPr fontId="0" type="noConversion"/>
  <printOptions gridLines="1" gridLinesSet="0"/>
  <pageMargins left="0.5" right="0.5" top="0.75" bottom="0.75" header="0.25" footer="0.25"/>
  <pageSetup orientation="landscape" r:id="rId1"/>
  <headerFooter alignWithMargins="0">
    <oddHeader>&amp;CAnnualized Yield Costs for Calculating COO of Gas Delivery Systems</oddHeader>
    <oddFooter>&amp;LRefer to SEMI Document xxxx&amp;CPage &amp;P&amp;RCreated 06/25/99</oddFooter>
  </headerFooter>
  <ignoredErrors>
    <ignoredError sqref="B14:K16 B19:K2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heetViews>
  <sheetFormatPr defaultColWidth="9.140625" defaultRowHeight="12.75" x14ac:dyDescent="0.2"/>
  <cols>
    <col min="1" max="1" width="24.5703125" style="30" customWidth="1"/>
    <col min="2" max="11" width="10.5703125" style="30" customWidth="1"/>
    <col min="12" max="16384" width="9.140625" style="30"/>
  </cols>
  <sheetData>
    <row r="1" spans="1:11" x14ac:dyDescent="0.2">
      <c r="B1" s="231" t="s">
        <v>199</v>
      </c>
      <c r="C1" s="231"/>
      <c r="D1" s="231"/>
      <c r="E1" s="231"/>
      <c r="F1" s="231"/>
      <c r="G1" s="231"/>
      <c r="H1" s="231"/>
      <c r="I1" s="231"/>
      <c r="J1" s="231"/>
      <c r="K1" s="231"/>
    </row>
    <row r="2" spans="1:11" x14ac:dyDescent="0.2">
      <c r="A2" s="43"/>
      <c r="B2" s="43"/>
      <c r="C2" s="43"/>
      <c r="D2" s="43"/>
      <c r="E2" s="43"/>
      <c r="F2" s="43"/>
      <c r="G2" s="43"/>
      <c r="H2" s="43"/>
      <c r="I2" s="43"/>
      <c r="J2" s="43"/>
      <c r="K2" s="43"/>
    </row>
    <row r="3" spans="1:11" x14ac:dyDescent="0.2">
      <c r="B3" s="208" t="s">
        <v>88</v>
      </c>
      <c r="C3" s="208" t="s">
        <v>89</v>
      </c>
      <c r="D3" s="208" t="s">
        <v>90</v>
      </c>
      <c r="E3" s="208" t="s">
        <v>91</v>
      </c>
      <c r="F3" s="208" t="s">
        <v>92</v>
      </c>
      <c r="G3" s="208" t="s">
        <v>93</v>
      </c>
      <c r="H3" s="208" t="s">
        <v>94</v>
      </c>
      <c r="I3" s="208" t="s">
        <v>95</v>
      </c>
      <c r="J3" s="208" t="s">
        <v>96</v>
      </c>
      <c r="K3" s="208" t="s">
        <v>97</v>
      </c>
    </row>
    <row r="4" spans="1:11" ht="26.25" customHeight="1" x14ac:dyDescent="0.2">
      <c r="A4" s="32" t="s">
        <v>201</v>
      </c>
      <c r="B4" s="44">
        <f>IF(Inputs!$E$14&gt;=1,'Annualized Fixed Costs'!B44,"Asset Fully Depreciated")</f>
        <v>96752.735074363998</v>
      </c>
      <c r="C4" s="44">
        <f>IF(Inputs!$E$14&gt;=2,'Annualized Fixed Costs'!C44,"Asset Fully Depreciated")</f>
        <v>15712.050142857142</v>
      </c>
      <c r="D4" s="44">
        <f>IF(Inputs!$E$14&gt;=3,'Annualized Fixed Costs'!D44,"Asset Fully Depreciated")</f>
        <v>15712.050142857142</v>
      </c>
      <c r="E4" s="44">
        <f>IF(Inputs!$E$14&gt;=4,'Annualized Fixed Costs'!E44,"Asset Fully Depreciated")</f>
        <v>15712.050142857142</v>
      </c>
      <c r="F4" s="44">
        <f>IF(Inputs!$E$14&gt;=5,'Annualized Fixed Costs'!F44,"Asset Fully Depreciated")</f>
        <v>15712.050142857142</v>
      </c>
      <c r="G4" s="44">
        <f>IF(Inputs!$E$14&gt;=6,'Annualized Fixed Costs'!G44,"Asset Fully Depreciated")</f>
        <v>14842.857142857143</v>
      </c>
      <c r="H4" s="44">
        <f>IF(Inputs!$E$14&gt;=7,'Annualized Fixed Costs'!H44,"Asset Fully Depreciated")</f>
        <v>14842.857142857143</v>
      </c>
      <c r="I4" s="44" t="str">
        <f>IF(Inputs!$E$14&gt;=8,'Annualized Fixed Costs'!I44,"Asset Fully Depreciated")</f>
        <v>Asset Fully Depreciated</v>
      </c>
      <c r="J4" s="44" t="str">
        <f>IF(Inputs!$E$14&gt;=9,'Annualized Fixed Costs'!J44,"Asset Fully Depreciated")</f>
        <v>Asset Fully Depreciated</v>
      </c>
      <c r="K4" s="44" t="str">
        <f>IF(Inputs!$E$14&gt;=10,'Annualized Fixed Costs'!K44,"Asset Fully Depreciated")</f>
        <v>Asset Fully Depreciated</v>
      </c>
    </row>
    <row r="5" spans="1:11" ht="25.5" x14ac:dyDescent="0.2">
      <c r="A5" s="32" t="s">
        <v>202</v>
      </c>
      <c r="B5" s="44">
        <f>IF(Inputs!$E$16&gt;=1,'Annualized Recurring Costs'!B36,"Asset Retired")</f>
        <v>64909.816745000004</v>
      </c>
      <c r="C5" s="44">
        <f>IF(Inputs!$E$16&gt;=2,'Annualized Recurring Costs'!C36,"Asset Retired")</f>
        <v>66857.111247349996</v>
      </c>
      <c r="D5" s="44">
        <f>IF(Inputs!$E$16&gt;=3,'Annualized Recurring Costs'!D36,"Asset Retired")</f>
        <v>68862.824584770497</v>
      </c>
      <c r="E5" s="44">
        <f>IF(Inputs!$E$16&gt;=4,'Annualized Recurring Costs'!E36,"Asset Retired")</f>
        <v>70928.709322313603</v>
      </c>
      <c r="F5" s="44">
        <f>IF(Inputs!$E$16&gt;=5,'Annualized Recurring Costs'!F36,"Asset Retired")</f>
        <v>73056.570601983025</v>
      </c>
      <c r="G5" s="44" t="str">
        <f>IF(Inputs!$E$16&gt;=6,'Annualized Recurring Costs'!G36,"Asset Retired")</f>
        <v>Asset Retired</v>
      </c>
      <c r="H5" s="44" t="str">
        <f>IF(Inputs!$E$16&gt;=7,'Annualized Recurring Costs'!H36,"Asset Retired")</f>
        <v>Asset Retired</v>
      </c>
      <c r="I5" s="44" t="str">
        <f>IF(Inputs!$E$16&gt;=8,'Annualized Recurring Costs'!I36,"Asset Retired")</f>
        <v>Asset Retired</v>
      </c>
      <c r="J5" s="44" t="str">
        <f>IF(Inputs!$E$16&gt;=9,'Annualized Recurring Costs'!J36,"Asset Retired")</f>
        <v>Asset Retired</v>
      </c>
      <c r="K5" s="44" t="str">
        <f>IF(Inputs!$E$16&gt;=10,'Annualized Recurring Costs'!K36,"Asset Retired")</f>
        <v>Asset Retired</v>
      </c>
    </row>
    <row r="6" spans="1:11" ht="25.5" x14ac:dyDescent="0.2">
      <c r="A6" s="32" t="s">
        <v>229</v>
      </c>
      <c r="B6" s="44">
        <f>IF(Inputs!$E$16&gt;=1,'Annualized Yield Costs'!B19,"Asset Retired")</f>
        <v>0</v>
      </c>
      <c r="C6" s="44">
        <f>IF(Inputs!$E$16&gt;=2,'Annualized Yield Costs'!C19,"Asset Retired")</f>
        <v>0</v>
      </c>
      <c r="D6" s="44">
        <f>IF(Inputs!$E$16&gt;=3,'Annualized Yield Costs'!D19,"Asset Retired")</f>
        <v>0</v>
      </c>
      <c r="E6" s="44">
        <f>IF(Inputs!$E$16&gt;=4,'Annualized Yield Costs'!E19,"Asset Retired")</f>
        <v>0</v>
      </c>
      <c r="F6" s="44">
        <f>IF(Inputs!$E$16&gt;=5,'Annualized Yield Costs'!F19,"Asset Retired")</f>
        <v>0</v>
      </c>
      <c r="G6" s="44" t="str">
        <f>IF(Inputs!$E$16&gt;=6,'Annualized Yield Costs'!G19,"Asset Retired")</f>
        <v>Asset Retired</v>
      </c>
      <c r="H6" s="44" t="str">
        <f>IF(Inputs!$E$16&gt;=7,'Annualized Yield Costs'!H19,"Asset Retired")</f>
        <v>Asset Retired</v>
      </c>
      <c r="I6" s="44" t="str">
        <f>IF(Inputs!$E$16&gt;=8,'Annualized Yield Costs'!I19,"Asset Retired")</f>
        <v>Asset Retired</v>
      </c>
      <c r="J6" s="44" t="str">
        <f>IF(Inputs!$E$16&gt;=9,'Annualized Yield Costs'!J19,"Asset Retired")</f>
        <v>Asset Retired</v>
      </c>
      <c r="K6" s="44" t="str">
        <f>IF(Inputs!$E$16&gt;=10,'Annualized Yield Costs'!K19,"Asset Retired")</f>
        <v>Asset Retired</v>
      </c>
    </row>
    <row r="7" spans="1:11" x14ac:dyDescent="0.2">
      <c r="A7" s="32" t="s">
        <v>203</v>
      </c>
      <c r="B7" s="44">
        <f t="shared" ref="B7:J7" si="0">SUM(B4:B6)</f>
        <v>161662.55181936402</v>
      </c>
      <c r="C7" s="44">
        <f t="shared" si="0"/>
        <v>82569.16139020714</v>
      </c>
      <c r="D7" s="44">
        <f t="shared" si="0"/>
        <v>84574.874727627641</v>
      </c>
      <c r="E7" s="44">
        <f t="shared" si="0"/>
        <v>86640.759465170748</v>
      </c>
      <c r="F7" s="44">
        <f t="shared" si="0"/>
        <v>88768.620744840169</v>
      </c>
      <c r="G7" s="44">
        <f t="shared" si="0"/>
        <v>14842.857142857143</v>
      </c>
      <c r="H7" s="44">
        <f t="shared" si="0"/>
        <v>14842.857142857143</v>
      </c>
      <c r="I7" s="44">
        <f t="shared" si="0"/>
        <v>0</v>
      </c>
      <c r="J7" s="44">
        <f t="shared" si="0"/>
        <v>0</v>
      </c>
      <c r="K7" s="44">
        <f>SUM(K4:K6)</f>
        <v>0</v>
      </c>
    </row>
    <row r="8" spans="1:11" x14ac:dyDescent="0.2">
      <c r="A8" s="32"/>
    </row>
    <row r="9" spans="1:11" x14ac:dyDescent="0.2">
      <c r="A9" s="32" t="s">
        <v>204</v>
      </c>
      <c r="B9" s="44">
        <f>'Annualized Fixed Costs'!B45</f>
        <v>96752.735074363998</v>
      </c>
      <c r="C9" s="44">
        <f>'Annualized Fixed Costs'!C45</f>
        <v>112464.78521722114</v>
      </c>
      <c r="D9" s="44">
        <f>'Annualized Fixed Costs'!D45</f>
        <v>128176.83536007829</v>
      </c>
      <c r="E9" s="44">
        <f>'Annualized Fixed Costs'!E45</f>
        <v>143888.88550293542</v>
      </c>
      <c r="F9" s="44">
        <f>'Annualized Fixed Costs'!F45</f>
        <v>159600.93564579255</v>
      </c>
      <c r="G9" s="44">
        <f>'Annualized Fixed Costs'!G45</f>
        <v>174443.79278864968</v>
      </c>
      <c r="H9" s="44">
        <f>'Annualized Fixed Costs'!H45</f>
        <v>189286.64993150681</v>
      </c>
      <c r="I9" s="44">
        <f>'Annualized Fixed Costs'!I45</f>
        <v>189286.64993150681</v>
      </c>
      <c r="J9" s="44">
        <f>'Annualized Fixed Costs'!J45</f>
        <v>189286.64993150681</v>
      </c>
      <c r="K9" s="44">
        <f>'Annualized Fixed Costs'!K45</f>
        <v>189286.64993150681</v>
      </c>
    </row>
    <row r="10" spans="1:11" x14ac:dyDescent="0.2">
      <c r="A10" s="32" t="s">
        <v>205</v>
      </c>
      <c r="B10" s="44">
        <f>'Annualized Recurring Costs'!B37</f>
        <v>64909.816745000004</v>
      </c>
      <c r="C10" s="44">
        <f>'Annualized Recurring Costs'!C37</f>
        <v>131766.92799235001</v>
      </c>
      <c r="D10" s="44">
        <f>'Annualized Recurring Costs'!D37</f>
        <v>200629.7525771205</v>
      </c>
      <c r="E10" s="44">
        <f>'Annualized Recurring Costs'!E37</f>
        <v>271558.4618994341</v>
      </c>
      <c r="F10" s="44">
        <f>'Annualized Recurring Costs'!F37</f>
        <v>344615.0325014171</v>
      </c>
      <c r="G10" s="44">
        <f>'Annualized Recurring Costs'!G37</f>
        <v>344615.0325014171</v>
      </c>
      <c r="H10" s="44">
        <f>'Annualized Recurring Costs'!H37</f>
        <v>344615.0325014171</v>
      </c>
      <c r="I10" s="44">
        <f>'Annualized Recurring Costs'!I37</f>
        <v>344615.0325014171</v>
      </c>
      <c r="J10" s="44">
        <f>'Annualized Recurring Costs'!J37</f>
        <v>344615.0325014171</v>
      </c>
      <c r="K10" s="44">
        <f>'Annualized Recurring Costs'!K37</f>
        <v>344615.0325014171</v>
      </c>
    </row>
    <row r="11" spans="1:11" x14ac:dyDescent="0.2">
      <c r="A11" s="32" t="s">
        <v>230</v>
      </c>
      <c r="B11" s="44">
        <f>'Annualized Yield Costs'!B20</f>
        <v>0</v>
      </c>
      <c r="C11" s="44">
        <f>'Annualized Yield Costs'!C20</f>
        <v>0</v>
      </c>
      <c r="D11" s="44">
        <f>'Annualized Yield Costs'!D20</f>
        <v>0</v>
      </c>
      <c r="E11" s="44">
        <f>'Annualized Yield Costs'!E20</f>
        <v>0</v>
      </c>
      <c r="F11" s="44">
        <f>'Annualized Yield Costs'!F20</f>
        <v>0</v>
      </c>
      <c r="G11" s="44">
        <f>'Annualized Yield Costs'!G20</f>
        <v>0</v>
      </c>
      <c r="H11" s="44">
        <f>'Annualized Yield Costs'!H20</f>
        <v>0</v>
      </c>
      <c r="I11" s="44">
        <f>'Annualized Yield Costs'!I20</f>
        <v>0</v>
      </c>
      <c r="J11" s="44">
        <f>'Annualized Yield Costs'!J20</f>
        <v>0</v>
      </c>
      <c r="K11" s="44">
        <f>'Annualized Yield Costs'!K20</f>
        <v>0</v>
      </c>
    </row>
    <row r="12" spans="1:11" x14ac:dyDescent="0.2">
      <c r="A12" s="32" t="s">
        <v>206</v>
      </c>
      <c r="B12" s="44">
        <f>SUM(B9:B11)</f>
        <v>161662.55181936402</v>
      </c>
      <c r="C12" s="44">
        <f t="shared" ref="C12:K12" si="1">SUM(C9:C11)</f>
        <v>244231.71320957114</v>
      </c>
      <c r="D12" s="44">
        <f t="shared" si="1"/>
        <v>328806.58793719881</v>
      </c>
      <c r="E12" s="44">
        <f t="shared" si="1"/>
        <v>415447.34740236949</v>
      </c>
      <c r="F12" s="44">
        <f t="shared" si="1"/>
        <v>504215.96814720961</v>
      </c>
      <c r="G12" s="44">
        <f t="shared" si="1"/>
        <v>519058.82529006677</v>
      </c>
      <c r="H12" s="44">
        <f t="shared" si="1"/>
        <v>533901.68243292393</v>
      </c>
      <c r="I12" s="44">
        <f t="shared" si="1"/>
        <v>533901.68243292393</v>
      </c>
      <c r="J12" s="44">
        <f t="shared" si="1"/>
        <v>533901.68243292393</v>
      </c>
      <c r="K12" s="44">
        <f t="shared" si="1"/>
        <v>533901.68243292393</v>
      </c>
    </row>
    <row r="13" spans="1:11" x14ac:dyDescent="0.2">
      <c r="A13" s="32"/>
    </row>
    <row r="14" spans="1:11" ht="25.5" x14ac:dyDescent="0.2">
      <c r="A14" s="137" t="s">
        <v>476</v>
      </c>
      <c r="B14" s="30">
        <f>Inputs!E16</f>
        <v>5</v>
      </c>
    </row>
    <row r="15" spans="1:11" ht="26.25" customHeight="1" x14ac:dyDescent="0.2">
      <c r="A15" s="137" t="s">
        <v>376</v>
      </c>
      <c r="B15" s="45">
        <f>Inputs!E26*Inputs!E31*'Equipment Total Utilization'!B20</f>
        <v>285030.81514285714</v>
      </c>
    </row>
    <row r="16" spans="1:11" x14ac:dyDescent="0.2">
      <c r="A16" s="137" t="s">
        <v>477</v>
      </c>
      <c r="B16" s="45">
        <f>Inputs!$E$146*Inputs!$E$147*Inputs!$E$148</f>
        <v>1</v>
      </c>
    </row>
    <row r="17" spans="1:11" ht="25.5" x14ac:dyDescent="0.2">
      <c r="A17" s="137" t="s">
        <v>478</v>
      </c>
      <c r="B17" s="47">
        <f>'Equipment Total Utilization'!B20</f>
        <v>0.98599285714285712</v>
      </c>
    </row>
    <row r="18" spans="1:11" x14ac:dyDescent="0.2">
      <c r="A18" s="46"/>
      <c r="B18" s="47"/>
    </row>
    <row r="19" spans="1:11" x14ac:dyDescent="0.2">
      <c r="A19" s="46" t="s">
        <v>231</v>
      </c>
      <c r="B19" s="48">
        <f>K12</f>
        <v>533901.68243292393</v>
      </c>
    </row>
    <row r="20" spans="1:11" x14ac:dyDescent="0.2">
      <c r="A20" s="32" t="s">
        <v>480</v>
      </c>
      <c r="B20" s="98">
        <f>B19/B14/B15/B16/B17</f>
        <v>0.37994934614374559</v>
      </c>
    </row>
    <row r="21" spans="1:11" x14ac:dyDescent="0.2">
      <c r="A21" s="33"/>
    </row>
    <row r="22" spans="1:11" x14ac:dyDescent="0.2">
      <c r="B22" s="208" t="s">
        <v>88</v>
      </c>
      <c r="C22" s="208" t="s">
        <v>89</v>
      </c>
      <c r="D22" s="208" t="s">
        <v>90</v>
      </c>
      <c r="E22" s="208" t="s">
        <v>91</v>
      </c>
      <c r="F22" s="208" t="s">
        <v>92</v>
      </c>
      <c r="G22" s="208" t="s">
        <v>93</v>
      </c>
      <c r="H22" s="208" t="s">
        <v>94</v>
      </c>
      <c r="I22" s="208" t="s">
        <v>95</v>
      </c>
      <c r="J22" s="208" t="s">
        <v>96</v>
      </c>
      <c r="K22" s="208" t="s">
        <v>97</v>
      </c>
    </row>
    <row r="23" spans="1:11" x14ac:dyDescent="0.2">
      <c r="B23" s="49"/>
      <c r="C23" s="49"/>
      <c r="D23" s="49"/>
      <c r="E23" s="49"/>
      <c r="F23" s="49"/>
      <c r="G23" s="49"/>
      <c r="H23" s="49"/>
      <c r="I23" s="49"/>
      <c r="J23" s="49"/>
      <c r="K23" s="49"/>
    </row>
    <row r="24" spans="1:11" ht="25.5" x14ac:dyDescent="0.2">
      <c r="A24" s="181" t="s">
        <v>481</v>
      </c>
      <c r="B24" s="49">
        <f>IF(Inputs!$E$16&gt;=1,B7/$B$15/$B$16/$B$17,"Asset Retired")</f>
        <v>0.57523307081368513</v>
      </c>
      <c r="C24" s="49">
        <f>IF(Inputs!$E$16&gt;=2,C7/$B$15/$B$16/$B$17,"Asset Retired")</f>
        <v>0.29380033734757899</v>
      </c>
      <c r="D24" s="49">
        <f>IF(Inputs!$E$16&gt;=3,D7/$B$15/$B$16/$B$17,"Asset Retired")</f>
        <v>0.30093713328004407</v>
      </c>
      <c r="E24" s="49">
        <f>IF(Inputs!$E$16&gt;=4,E7/$B$15/$B$16/$B$17,"Asset Retired")</f>
        <v>0.30828803309048308</v>
      </c>
      <c r="F24" s="49">
        <f>IF(Inputs!$E$16&gt;=5,F7/$B$15/$B$16/$B$17,"Asset Retired")</f>
        <v>0.31585945989523528</v>
      </c>
      <c r="G24" s="49" t="str">
        <f>IF(Inputs!$E$16&gt;=6,G7/$B$15/$B$16/$B$17,"Asset Retired")</f>
        <v>Asset Retired</v>
      </c>
      <c r="H24" s="49" t="str">
        <f>IF(Inputs!$E$16&gt;=7,H7/$B$15/$B$16/$B$17,"Asset Retired")</f>
        <v>Asset Retired</v>
      </c>
      <c r="I24" s="49" t="str">
        <f>IF(Inputs!$E$16&gt;=8,I7/$B$15/$B$16/$B$17,"Asset Retired")</f>
        <v>Asset Retired</v>
      </c>
      <c r="J24" s="49" t="str">
        <f>IF(Inputs!$E$16&gt;=9,J7/$B$15/$B$16/$B$17,"Asset Retired")</f>
        <v>Asset Retired</v>
      </c>
      <c r="K24" s="49" t="str">
        <f>IF(Inputs!$E$16&gt;=10,K7/$B$15/$B$16/$B$17,"Asset Retired")</f>
        <v>Asset Retired</v>
      </c>
    </row>
    <row r="25" spans="1:11" x14ac:dyDescent="0.2">
      <c r="A25" s="181" t="s">
        <v>483</v>
      </c>
      <c r="B25" s="50"/>
      <c r="C25" s="50"/>
      <c r="D25" s="50"/>
      <c r="E25" s="50"/>
      <c r="F25" s="50"/>
      <c r="G25" s="50"/>
      <c r="H25" s="50"/>
      <c r="I25" s="50"/>
      <c r="J25" s="50"/>
      <c r="K25" s="50"/>
    </row>
    <row r="26" spans="1:11" x14ac:dyDescent="0.2">
      <c r="A26" s="181"/>
      <c r="B26" s="50"/>
      <c r="C26" s="50"/>
      <c r="D26" s="50"/>
      <c r="E26" s="50"/>
      <c r="F26" s="50"/>
      <c r="G26" s="50"/>
      <c r="H26" s="50"/>
      <c r="I26" s="50"/>
      <c r="J26" s="50"/>
      <c r="K26" s="50"/>
    </row>
    <row r="27" spans="1:11" x14ac:dyDescent="0.2">
      <c r="A27" s="136" t="s">
        <v>482</v>
      </c>
      <c r="B27" s="49">
        <f>IF(Inputs!$E$16&gt;=1,B12/$B$15/$B$16/$B$17,B12/Inputs!$E$16/$B$15/$B$16/$B$17)</f>
        <v>0.57523307081368513</v>
      </c>
      <c r="C27" s="49">
        <f>IF(Inputs!$E$16&gt;=2,C12/2/$B$15/$B$16/$B$17,C12/Inputs!$E$16/$B$15/$B$16/$B$17)</f>
        <v>0.43451670408063203</v>
      </c>
      <c r="D27" s="49">
        <f>IF(Inputs!$E$16&gt;=3,D12/3/$B$15/$B$16/$B$17,D12/Inputs!$E$16/$B$15/$B$16/$B$17)</f>
        <v>0.38999018048043604</v>
      </c>
      <c r="E27" s="49">
        <f>IF(Inputs!$E$16&gt;=4,E12/4/$B$15/$B$16/$B$17,E12/Inputs!$E$16/$B$15/$B$16/$B$17)</f>
        <v>0.36956464363294778</v>
      </c>
      <c r="F27" s="49">
        <f>IF(Inputs!$E$16&gt;=5,F12/5/$B$15/$B$16/$B$17,F12/Inputs!$E$16/$B$15/$B$16/$B$17)</f>
        <v>0.35882360688540527</v>
      </c>
      <c r="G27" s="49">
        <f>IF(Inputs!$E$16&gt;=6,G12/6/$B$15/$B$16/$B$17,G12/Inputs!$E$16/$B$15/$B$16/$B$17)</f>
        <v>0.3693864765145754</v>
      </c>
      <c r="H27" s="49">
        <f>IF(Inputs!$E$16&gt;=7,H12/7/$B$15/$B$16/$B$17,H12/Inputs!$E$16/$B$15/$B$16/$B$17)</f>
        <v>0.37994934614374559</v>
      </c>
      <c r="I27" s="49">
        <f>IF(Inputs!$E$16&gt;=8,I12/8/$B$15/$B$16/$B$17,I12/Inputs!$E$16/$B$15/$B$16/$B$17)</f>
        <v>0.37994934614374559</v>
      </c>
      <c r="J27" s="49">
        <f>IF(Inputs!$E$16&gt;=9,J12/9/$B$15/$B$16/$B$17,J12/Inputs!$E$16/$B$15/$B$16/$B$17)</f>
        <v>0.37994934614374559</v>
      </c>
      <c r="K27" s="99">
        <f>IF(Inputs!$E$16&gt;=10,K12/10/$B$15/$B$16/$B$17,K12/Inputs!$E$16/$B$15/$B$16/$B$17)</f>
        <v>0.37994934614374559</v>
      </c>
    </row>
    <row r="28" spans="1:11" x14ac:dyDescent="0.2">
      <c r="A28" s="50" t="s">
        <v>479</v>
      </c>
      <c r="B28" s="50"/>
      <c r="C28" s="50"/>
      <c r="D28" s="50"/>
      <c r="E28" s="50"/>
      <c r="F28" s="50"/>
      <c r="G28" s="50"/>
      <c r="H28" s="50"/>
      <c r="I28" s="50"/>
      <c r="J28" s="50"/>
      <c r="K28" s="50"/>
    </row>
  </sheetData>
  <mergeCells count="1">
    <mergeCell ref="B1:K1"/>
  </mergeCells>
  <phoneticPr fontId="0" type="noConversion"/>
  <printOptions gridLines="1" gridLinesSet="0"/>
  <pageMargins left="0.5" right="0.5" top="1" bottom="1" header="0.5" footer="0.5"/>
  <pageSetup orientation="landscape" r:id="rId1"/>
  <headerFooter alignWithMargins="0">
    <oddHeader>&amp;CSummary Calculations for Calculating COO of Gas Delivery Systems</oddHeader>
    <oddFooter>&amp;LRefer to SEMI Document xxxx&amp;CPage &amp;P&amp;RCreated 06/25/99</oddFooter>
  </headerFooter>
  <ignoredErrors>
    <ignoredError sqref="B4:K12 B14:B20 B24:K24 B27:K2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heetViews>
  <sheetFormatPr defaultColWidth="9.140625" defaultRowHeight="12.75" x14ac:dyDescent="0.2"/>
  <cols>
    <col min="1" max="1" width="7.28515625" style="30" customWidth="1"/>
    <col min="2" max="2" width="10.140625" style="30" customWidth="1"/>
    <col min="3" max="3" width="8.7109375" style="30" customWidth="1"/>
    <col min="4" max="5" width="7.85546875" style="30" customWidth="1"/>
    <col min="6" max="16384" width="9.140625" style="30"/>
  </cols>
  <sheetData>
    <row r="1" spans="1:11" x14ac:dyDescent="0.2">
      <c r="A1" s="136" t="s">
        <v>487</v>
      </c>
    </row>
    <row r="3" spans="1:11" x14ac:dyDescent="0.2">
      <c r="A3" s="187" t="s">
        <v>432</v>
      </c>
      <c r="B3" s="3" t="s">
        <v>20</v>
      </c>
      <c r="C3" s="41"/>
      <c r="D3" s="41"/>
      <c r="E3" s="41"/>
    </row>
    <row r="4" spans="1:11" s="146" customFormat="1" x14ac:dyDescent="0.2">
      <c r="B4" s="146" t="s">
        <v>65</v>
      </c>
      <c r="C4" s="189" t="s">
        <v>70</v>
      </c>
      <c r="D4" s="146" t="s">
        <v>0</v>
      </c>
    </row>
    <row r="5" spans="1:11" s="146" customFormat="1" x14ac:dyDescent="0.2">
      <c r="C5" s="189" t="s">
        <v>72</v>
      </c>
      <c r="D5" s="146" t="s">
        <v>1</v>
      </c>
      <c r="I5" s="146" t="s">
        <v>419</v>
      </c>
    </row>
    <row r="6" spans="1:11" s="146" customFormat="1" x14ac:dyDescent="0.2">
      <c r="C6" s="189" t="s">
        <v>433</v>
      </c>
      <c r="D6" s="146" t="s">
        <v>2</v>
      </c>
    </row>
    <row r="7" spans="1:11" s="146" customFormat="1" x14ac:dyDescent="0.2">
      <c r="C7" s="189" t="s">
        <v>74</v>
      </c>
      <c r="D7" s="146" t="s">
        <v>75</v>
      </c>
    </row>
    <row r="8" spans="1:11" s="146" customFormat="1" x14ac:dyDescent="0.2">
      <c r="C8" s="189" t="s">
        <v>76</v>
      </c>
      <c r="D8" s="146" t="s">
        <v>77</v>
      </c>
      <c r="H8" s="146" t="s">
        <v>21</v>
      </c>
    </row>
    <row r="9" spans="1:11" s="146" customFormat="1" x14ac:dyDescent="0.2">
      <c r="C9" s="189" t="s">
        <v>78</v>
      </c>
      <c r="D9" s="146" t="s">
        <v>434</v>
      </c>
    </row>
    <row r="10" spans="1:11" s="146" customFormat="1" x14ac:dyDescent="0.2">
      <c r="C10" s="189" t="s">
        <v>79</v>
      </c>
      <c r="D10" s="146" t="s">
        <v>3</v>
      </c>
      <c r="K10" s="182"/>
    </row>
    <row r="11" spans="1:11" s="182" customFormat="1" x14ac:dyDescent="0.2"/>
    <row r="12" spans="1:11" s="182" customFormat="1" x14ac:dyDescent="0.2">
      <c r="A12" s="206" t="s">
        <v>70</v>
      </c>
      <c r="B12" s="183">
        <f>Inputs!$E$101</f>
        <v>0</v>
      </c>
      <c r="C12" s="182" t="s">
        <v>49</v>
      </c>
    </row>
    <row r="13" spans="1:11" s="182" customFormat="1" x14ac:dyDescent="0.2">
      <c r="A13" s="206" t="s">
        <v>72</v>
      </c>
      <c r="B13" s="183">
        <f>Inputs!$E$31/Inputs!$E$102*(Inputs!$E$103+Inputs!$E$104)/(365/7)</f>
        <v>0.29320000000000002</v>
      </c>
      <c r="C13" s="182" t="s">
        <v>49</v>
      </c>
    </row>
    <row r="14" spans="1:11" s="182" customFormat="1" x14ac:dyDescent="0.2">
      <c r="A14" s="206" t="s">
        <v>433</v>
      </c>
      <c r="B14" s="184">
        <f>Inputs!$E$107</f>
        <v>0</v>
      </c>
      <c r="C14" s="182" t="s">
        <v>49</v>
      </c>
    </row>
    <row r="15" spans="1:11" s="182" customFormat="1" x14ac:dyDescent="0.2">
      <c r="A15" s="206" t="s">
        <v>74</v>
      </c>
      <c r="B15" s="184">
        <f>Inputs!$E$108</f>
        <v>0</v>
      </c>
      <c r="C15" s="182" t="s">
        <v>49</v>
      </c>
    </row>
    <row r="16" spans="1:11" s="182" customFormat="1" x14ac:dyDescent="0.2">
      <c r="A16" s="206" t="s">
        <v>76</v>
      </c>
      <c r="B16" s="183">
        <f>Inputs!$E$31/Inputs!$E$102*(Inputs!$E$105+Inputs!$E$106)/(365/7)</f>
        <v>6.0000000000000005E-2</v>
      </c>
      <c r="C16" s="182" t="s">
        <v>49</v>
      </c>
    </row>
    <row r="17" spans="1:3" s="182" customFormat="1" x14ac:dyDescent="0.2">
      <c r="A17" s="206" t="s">
        <v>78</v>
      </c>
      <c r="B17" s="183">
        <f>Inputs!$E$109</f>
        <v>2</v>
      </c>
      <c r="C17" s="182" t="s">
        <v>49</v>
      </c>
    </row>
    <row r="18" spans="1:3" s="182" customFormat="1" x14ac:dyDescent="0.2">
      <c r="A18" s="206" t="s">
        <v>79</v>
      </c>
      <c r="B18" s="183">
        <f>Inputs!$E$31/(365/7)</f>
        <v>168</v>
      </c>
      <c r="C18" s="182" t="s">
        <v>49</v>
      </c>
    </row>
    <row r="19" spans="1:3" s="182" customFormat="1" x14ac:dyDescent="0.2">
      <c r="A19" s="205"/>
      <c r="B19" s="183"/>
    </row>
    <row r="20" spans="1:3" s="182" customFormat="1" x14ac:dyDescent="0.2">
      <c r="A20" s="207" t="s">
        <v>430</v>
      </c>
      <c r="B20" s="185">
        <f>1-SUM(B12:B17)/B18</f>
        <v>0.98599285714285712</v>
      </c>
    </row>
    <row r="21" spans="1:3" x14ac:dyDescent="0.2">
      <c r="B21" s="42"/>
    </row>
    <row r="22" spans="1:3" x14ac:dyDescent="0.2">
      <c r="B22" s="42"/>
    </row>
  </sheetData>
  <phoneticPr fontId="0" type="noConversion"/>
  <printOptions gridLines="1" gridLinesSet="0"/>
  <pageMargins left="0.75" right="0.75" top="1" bottom="1" header="0.5" footer="0.5"/>
  <pageSetup orientation="landscape" r:id="rId1"/>
  <headerFooter alignWithMargins="0">
    <oddHeader>&amp;CRAM Data for Calculating COO for Gas Delivery Systems</oddHeader>
    <oddFooter>&amp;LRefer to SEMI Document xxxx&amp;CPage &amp;P&amp;RCreated 06/25/99</oddFooter>
  </headerFooter>
  <ignoredErrors>
    <ignoredError sqref="B12:B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Model</vt:lpstr>
      <vt:lpstr>Definitions</vt:lpstr>
      <vt:lpstr>Inputs</vt:lpstr>
      <vt:lpstr>Annualized Fixed Costs</vt:lpstr>
      <vt:lpstr>Annualized Recurring Costs</vt:lpstr>
      <vt:lpstr>Annualized Yield Costs</vt:lpstr>
      <vt:lpstr>Summary Calculations</vt:lpstr>
      <vt:lpstr>Equipment Total Utilization</vt:lpstr>
      <vt:lpstr>Sheet1</vt:lpstr>
    </vt:vector>
  </TitlesOfParts>
  <Company>Applied Materials / Fab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E140 Example COO Model</dc:title>
  <dc:subject>COO for Gas Delivery Systems</dc:subject>
  <dc:creator>Helen Armer (original) / David Bouldin (updates)</dc:creator>
  <cp:lastModifiedBy>David Bouldin</cp:lastModifiedBy>
  <cp:lastPrinted>2000-10-10T17:45:29Z</cp:lastPrinted>
  <dcterms:created xsi:type="dcterms:W3CDTF">1999-06-25T13:11:28Z</dcterms:created>
  <dcterms:modified xsi:type="dcterms:W3CDTF">2018-06-08T00:31:15Z</dcterms:modified>
</cp:coreProperties>
</file>